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6600" yWindow="-288" windowWidth="16440" windowHeight="8592" activeTab="2"/>
  </bookViews>
  <sheets>
    <sheet name="READ ME" sheetId="14" r:id="rId1"/>
    <sheet name="DV-IDENTITY-0" sheetId="7" state="veryHidden" r:id="rId2"/>
    <sheet name="Main - US" sheetId="11" r:id="rId3"/>
  </sheets>
  <externalReferences>
    <externalReference r:id="rId4"/>
  </externalReferences>
  <definedNames>
    <definedName name="_xlnm.Print_Area" localSheetId="2">'Main - US'!$A$8:$K$871</definedName>
    <definedName name="_xlnm.Print_Area" localSheetId="0">'READ ME'!$A$8:$K$62</definedName>
    <definedName name="sencount" hidden="1">1</definedName>
  </definedNames>
  <calcPr calcId="171027" calcOnSave="0"/>
</workbook>
</file>

<file path=xl/calcChain.xml><?xml version="1.0" encoding="utf-8"?>
<calcChain xmlns="http://schemas.openxmlformats.org/spreadsheetml/2006/main">
  <c r="C257" i="11" l="1"/>
  <c r="C197" i="11"/>
  <c r="C202" i="11"/>
  <c r="F192" i="11"/>
  <c r="C192" i="11"/>
  <c r="I192" i="11" s="1"/>
  <c r="C183" i="11"/>
  <c r="C187" i="11"/>
  <c r="C186" i="11"/>
  <c r="B171" i="11"/>
  <c r="F170" i="11"/>
  <c r="L169" i="11"/>
  <c r="F169" i="11"/>
  <c r="J168" i="11"/>
  <c r="F168" i="11"/>
  <c r="J167" i="11"/>
  <c r="F167" i="11"/>
  <c r="C201" i="11"/>
  <c r="I191" i="11"/>
  <c r="C200" i="11"/>
  <c r="F191" i="11"/>
  <c r="C191" i="11"/>
  <c r="C196" i="11"/>
  <c r="I190" i="11"/>
  <c r="C182" i="11"/>
  <c r="C195" i="11"/>
  <c r="F190" i="11"/>
  <c r="C190" i="11"/>
  <c r="C181" i="11"/>
  <c r="I183" i="11" l="1"/>
  <c r="I179" i="11"/>
  <c r="H475" i="11"/>
  <c r="H466" i="11"/>
  <c r="C475" i="11"/>
  <c r="C466" i="11"/>
  <c r="C458" i="11"/>
  <c r="G411" i="11"/>
  <c r="C411" i="11"/>
  <c r="G416" i="11"/>
  <c r="G421" i="11" s="1"/>
  <c r="C416" i="11"/>
  <c r="C421" i="11" s="1"/>
  <c r="I181" i="11"/>
  <c r="I182" i="11"/>
  <c r="I178" i="11"/>
  <c r="I177" i="11"/>
  <c r="G414" i="11"/>
  <c r="G420" i="11"/>
  <c r="C415" i="11"/>
  <c r="C414" i="11"/>
  <c r="G415" i="11"/>
  <c r="G101" i="11" l="1"/>
  <c r="C101" i="11"/>
  <c r="G48" i="11"/>
  <c r="C48" i="11"/>
  <c r="C252" i="11"/>
  <c r="C86" i="11"/>
  <c r="C43" i="11"/>
  <c r="C256" i="11"/>
  <c r="G46" i="11"/>
  <c r="G100" i="11"/>
  <c r="G47" i="11"/>
  <c r="C250" i="11"/>
  <c r="C255" i="11"/>
  <c r="C47" i="11"/>
  <c r="C99" i="11"/>
  <c r="C100" i="11"/>
  <c r="G99" i="11"/>
  <c r="C251" i="11"/>
  <c r="C46" i="11"/>
  <c r="C12" i="14" l="1"/>
  <c r="H530" i="11" l="1"/>
  <c r="C530" i="11"/>
  <c r="F525" i="11"/>
  <c r="C525" i="11"/>
  <c r="F520" i="11"/>
  <c r="C520" i="11"/>
  <c r="C515" i="11"/>
  <c r="B501" i="11"/>
  <c r="F500" i="11"/>
  <c r="L499" i="11"/>
  <c r="F499" i="11"/>
  <c r="J498" i="11"/>
  <c r="F498" i="11"/>
  <c r="J497" i="11"/>
  <c r="F497" i="11"/>
  <c r="G583" i="11"/>
  <c r="C583" i="11"/>
  <c r="F578" i="11"/>
  <c r="C578" i="11"/>
  <c r="F573" i="11"/>
  <c r="C573" i="11"/>
  <c r="C568" i="11"/>
  <c r="C523" i="11"/>
  <c r="H528" i="11"/>
  <c r="C518" i="11"/>
  <c r="C513" i="11"/>
  <c r="F576" i="11"/>
  <c r="G581" i="11"/>
  <c r="H529" i="11"/>
  <c r="C524" i="11"/>
  <c r="F523" i="11"/>
  <c r="C582" i="11"/>
  <c r="C581" i="11"/>
  <c r="G582" i="11"/>
  <c r="F524" i="11"/>
  <c r="C514" i="11"/>
  <c r="C528" i="11"/>
  <c r="F519" i="11"/>
  <c r="C519" i="11"/>
  <c r="F518" i="11"/>
  <c r="C529" i="11"/>
  <c r="F577" i="11"/>
  <c r="J565" i="11" l="1"/>
  <c r="I578" i="11"/>
  <c r="J508" i="11"/>
  <c r="J512" i="11"/>
  <c r="I525" i="11"/>
  <c r="B554" i="11"/>
  <c r="F553" i="11"/>
  <c r="L552" i="11"/>
  <c r="F552" i="11"/>
  <c r="J551" i="11"/>
  <c r="F551" i="11"/>
  <c r="J550" i="11"/>
  <c r="F550" i="11"/>
  <c r="C567" i="11"/>
  <c r="J510" i="11"/>
  <c r="I523" i="11"/>
  <c r="J506" i="11"/>
  <c r="C572" i="11"/>
  <c r="C566" i="11"/>
  <c r="J511" i="11"/>
  <c r="I524" i="11"/>
  <c r="F571" i="11"/>
  <c r="F572" i="11"/>
  <c r="C571" i="11"/>
  <c r="J507" i="11"/>
  <c r="H842" i="11" l="1"/>
  <c r="C842" i="11"/>
  <c r="C837" i="11"/>
  <c r="B823" i="11"/>
  <c r="F822" i="11"/>
  <c r="L821" i="11"/>
  <c r="F821" i="11"/>
  <c r="J820" i="11"/>
  <c r="F820" i="11"/>
  <c r="J819" i="11"/>
  <c r="F819" i="11"/>
  <c r="C811" i="11"/>
  <c r="H805" i="11"/>
  <c r="C805" i="11"/>
  <c r="C777" i="11"/>
  <c r="C799" i="11" s="1"/>
  <c r="I790" i="11"/>
  <c r="C790" i="11"/>
  <c r="C787" i="11"/>
  <c r="C784" i="11"/>
  <c r="B770" i="11"/>
  <c r="F769" i="11"/>
  <c r="L768" i="11"/>
  <c r="F768" i="11"/>
  <c r="J767" i="11"/>
  <c r="F767" i="11"/>
  <c r="J766" i="11"/>
  <c r="F766" i="11"/>
  <c r="H804" i="11"/>
  <c r="C835" i="11"/>
  <c r="C782" i="11"/>
  <c r="I788" i="11"/>
  <c r="C577" i="11"/>
  <c r="H803" i="11"/>
  <c r="C776" i="11"/>
  <c r="C789" i="11"/>
  <c r="J563" i="11"/>
  <c r="C836" i="11"/>
  <c r="H841" i="11"/>
  <c r="C798" i="11"/>
  <c r="J564" i="11"/>
  <c r="H840" i="11"/>
  <c r="C841" i="11"/>
  <c r="C840" i="11"/>
  <c r="C797" i="11"/>
  <c r="C788" i="11"/>
  <c r="C783" i="11"/>
  <c r="C576" i="11"/>
  <c r="I789" i="11"/>
  <c r="C803" i="11"/>
  <c r="C804" i="11"/>
  <c r="C812" i="11" l="1"/>
  <c r="C809" i="11" s="1"/>
  <c r="C795" i="11"/>
  <c r="H799" i="11" s="1"/>
  <c r="H809" i="11"/>
  <c r="J561" i="11"/>
  <c r="C851" i="11"/>
  <c r="J834" i="11" s="1"/>
  <c r="C847" i="11"/>
  <c r="J781" i="11"/>
  <c r="H751" i="11"/>
  <c r="C751" i="11"/>
  <c r="C746" i="11"/>
  <c r="C742" i="11"/>
  <c r="C737" i="11"/>
  <c r="C731" i="11"/>
  <c r="C734" i="11"/>
  <c r="B717" i="11"/>
  <c r="F716" i="11"/>
  <c r="L715" i="11"/>
  <c r="F715" i="11"/>
  <c r="J714" i="11"/>
  <c r="F714" i="11"/>
  <c r="J713" i="11"/>
  <c r="F713" i="11"/>
  <c r="H704" i="11"/>
  <c r="C697" i="11"/>
  <c r="C703" i="11" s="1"/>
  <c r="C701" i="11"/>
  <c r="C691" i="11"/>
  <c r="C682" i="11"/>
  <c r="I669" i="11"/>
  <c r="C679" i="11"/>
  <c r="B662" i="11"/>
  <c r="F661" i="11"/>
  <c r="L660" i="11"/>
  <c r="F660" i="11"/>
  <c r="J659" i="11"/>
  <c r="F659" i="11"/>
  <c r="J658" i="11"/>
  <c r="F658" i="11"/>
  <c r="C645" i="11"/>
  <c r="C647" i="11" s="1"/>
  <c r="C641" i="11"/>
  <c r="F649" i="11"/>
  <c r="C630" i="11"/>
  <c r="C621" i="11"/>
  <c r="C618" i="11"/>
  <c r="I614" i="11"/>
  <c r="B607" i="11"/>
  <c r="F606" i="11"/>
  <c r="L605" i="11"/>
  <c r="F605" i="11"/>
  <c r="J604" i="11"/>
  <c r="F604" i="11"/>
  <c r="J603" i="11"/>
  <c r="F603" i="11"/>
  <c r="G151" i="11"/>
  <c r="C151" i="11"/>
  <c r="F96" i="11"/>
  <c r="C96" i="11"/>
  <c r="G86" i="11"/>
  <c r="G106" i="11" s="1"/>
  <c r="C77" i="11"/>
  <c r="C81" i="11"/>
  <c r="C80" i="11"/>
  <c r="C106" i="11" s="1"/>
  <c r="G43" i="11"/>
  <c r="G33" i="11"/>
  <c r="C33" i="11"/>
  <c r="C27" i="11"/>
  <c r="C28" i="11" s="1"/>
  <c r="C24" i="11"/>
  <c r="B12" i="11"/>
  <c r="F11" i="11"/>
  <c r="F10" i="11"/>
  <c r="J9" i="11"/>
  <c r="F9" i="11"/>
  <c r="J8" i="11"/>
  <c r="F8" i="11"/>
  <c r="G104" i="11"/>
  <c r="C850" i="11"/>
  <c r="F94" i="11"/>
  <c r="C696" i="11"/>
  <c r="G150" i="11"/>
  <c r="C629" i="11"/>
  <c r="F648" i="11"/>
  <c r="C22" i="11"/>
  <c r="C689" i="11"/>
  <c r="H798" i="11"/>
  <c r="C695" i="11"/>
  <c r="C105" i="11"/>
  <c r="H750" i="11"/>
  <c r="C735" i="11"/>
  <c r="C794" i="11"/>
  <c r="C32" i="11"/>
  <c r="I576" i="11"/>
  <c r="J833" i="11"/>
  <c r="C628" i="11"/>
  <c r="C681" i="11"/>
  <c r="C150" i="11"/>
  <c r="H808" i="11"/>
  <c r="C793" i="11"/>
  <c r="J560" i="11"/>
  <c r="J780" i="11"/>
  <c r="F95" i="11"/>
  <c r="J779" i="11"/>
  <c r="F647" i="11"/>
  <c r="C730" i="11"/>
  <c r="G84" i="11"/>
  <c r="C744" i="11"/>
  <c r="H702" i="11"/>
  <c r="C620" i="11"/>
  <c r="C23" i="11"/>
  <c r="I613" i="11"/>
  <c r="C849" i="11"/>
  <c r="G31" i="11"/>
  <c r="C41" i="11"/>
  <c r="C807" i="11"/>
  <c r="C750" i="11"/>
  <c r="G105" i="11"/>
  <c r="H807" i="11"/>
  <c r="C749" i="11"/>
  <c r="C94" i="11"/>
  <c r="C700" i="11"/>
  <c r="H703" i="11"/>
  <c r="C31" i="11"/>
  <c r="G85" i="11"/>
  <c r="H797" i="11"/>
  <c r="G42" i="11"/>
  <c r="C85" i="11"/>
  <c r="G32" i="11"/>
  <c r="I668" i="11"/>
  <c r="C619" i="11"/>
  <c r="C846" i="11"/>
  <c r="J559" i="11"/>
  <c r="I612" i="11"/>
  <c r="C680" i="11"/>
  <c r="C845" i="11"/>
  <c r="C808" i="11"/>
  <c r="C149" i="11"/>
  <c r="I577" i="11"/>
  <c r="G41" i="11"/>
  <c r="C699" i="11"/>
  <c r="C42" i="11"/>
  <c r="C745" i="11"/>
  <c r="C84" i="11"/>
  <c r="C729" i="11"/>
  <c r="C95" i="11"/>
  <c r="C736" i="11"/>
  <c r="C639" i="11"/>
  <c r="I667" i="11"/>
  <c r="C690" i="11"/>
  <c r="C104" i="11"/>
  <c r="J832" i="11"/>
  <c r="H749" i="11"/>
  <c r="C75" i="11"/>
  <c r="G149" i="11"/>
  <c r="C640" i="11"/>
  <c r="C76" i="11"/>
  <c r="C687" i="11" l="1"/>
  <c r="C53" i="11"/>
  <c r="G53" i="11"/>
  <c r="J777" i="11"/>
  <c r="H756" i="11"/>
  <c r="C813" i="11"/>
  <c r="C38" i="11"/>
  <c r="C756" i="11"/>
  <c r="J830" i="11"/>
  <c r="C855" i="11"/>
  <c r="J728" i="11"/>
  <c r="H746" i="11"/>
  <c r="G676" i="11"/>
  <c r="H709" i="11"/>
  <c r="C626" i="11"/>
  <c r="C654" i="11" s="1"/>
  <c r="I654" i="11"/>
  <c r="G635" i="11"/>
  <c r="G38" i="11"/>
  <c r="C91" i="11"/>
  <c r="G91" i="11"/>
  <c r="J86" i="11"/>
  <c r="J33" i="11"/>
  <c r="C854" i="11"/>
  <c r="G90" i="11"/>
  <c r="I653" i="11"/>
  <c r="C89" i="11"/>
  <c r="I652" i="11"/>
  <c r="G36" i="11"/>
  <c r="C740" i="11"/>
  <c r="C90" i="11"/>
  <c r="C644" i="11"/>
  <c r="H754" i="11"/>
  <c r="C653" i="11"/>
  <c r="G51" i="11"/>
  <c r="G674" i="11"/>
  <c r="G89" i="11"/>
  <c r="H755" i="11"/>
  <c r="H744" i="11"/>
  <c r="C685" i="11"/>
  <c r="J32" i="11"/>
  <c r="G37" i="11"/>
  <c r="J828" i="11"/>
  <c r="C36" i="11"/>
  <c r="J776" i="11"/>
  <c r="J775" i="11"/>
  <c r="C754" i="11"/>
  <c r="C625" i="11"/>
  <c r="C52" i="11"/>
  <c r="C755" i="11"/>
  <c r="C51" i="11"/>
  <c r="H707" i="11"/>
  <c r="C643" i="11"/>
  <c r="C652" i="11"/>
  <c r="J31" i="11"/>
  <c r="H708" i="11"/>
  <c r="J85" i="11"/>
  <c r="J84" i="11"/>
  <c r="C686" i="11"/>
  <c r="G633" i="11"/>
  <c r="G52" i="11"/>
  <c r="J727" i="11"/>
  <c r="G634" i="11"/>
  <c r="C741" i="11"/>
  <c r="C37" i="11"/>
  <c r="J726" i="11"/>
  <c r="C853" i="11"/>
  <c r="J829" i="11"/>
  <c r="H745" i="11"/>
  <c r="G675" i="11"/>
  <c r="C624" i="11"/>
  <c r="C676" i="11" l="1"/>
  <c r="H691" i="11"/>
  <c r="C709" i="11"/>
  <c r="J724" i="11"/>
  <c r="H630" i="11"/>
  <c r="C635" i="11"/>
  <c r="L10" i="11"/>
  <c r="B446" i="11"/>
  <c r="F445" i="11"/>
  <c r="L444" i="11"/>
  <c r="F444" i="11"/>
  <c r="J443" i="11"/>
  <c r="F443" i="11"/>
  <c r="J442" i="11"/>
  <c r="F442" i="11"/>
  <c r="B391" i="11"/>
  <c r="F390" i="11"/>
  <c r="L389" i="11"/>
  <c r="F389" i="11"/>
  <c r="J388" i="11"/>
  <c r="F388" i="11"/>
  <c r="J387" i="11"/>
  <c r="F387" i="11"/>
  <c r="B336" i="11"/>
  <c r="F335" i="11"/>
  <c r="L334" i="11"/>
  <c r="F334" i="11"/>
  <c r="J333" i="11"/>
  <c r="F333" i="11"/>
  <c r="J332" i="11"/>
  <c r="F332" i="11"/>
  <c r="B281" i="11"/>
  <c r="F280" i="11"/>
  <c r="L279" i="11"/>
  <c r="F279" i="11"/>
  <c r="J278" i="11"/>
  <c r="F278" i="11"/>
  <c r="J277" i="11"/>
  <c r="F277" i="11"/>
  <c r="B118" i="11"/>
  <c r="F117" i="11"/>
  <c r="L116" i="11"/>
  <c r="F116" i="11"/>
  <c r="J115" i="11"/>
  <c r="F115" i="11"/>
  <c r="J114" i="11"/>
  <c r="F114" i="11"/>
  <c r="B226" i="11"/>
  <c r="F225" i="11"/>
  <c r="L224" i="11"/>
  <c r="F224" i="11"/>
  <c r="J223" i="11"/>
  <c r="F223" i="11"/>
  <c r="J222" i="11"/>
  <c r="F222" i="11"/>
  <c r="B65" i="11"/>
  <c r="F64" i="11"/>
  <c r="L63" i="11"/>
  <c r="F63" i="11"/>
  <c r="J62" i="11"/>
  <c r="F62" i="11"/>
  <c r="J61" i="11"/>
  <c r="F61" i="11"/>
  <c r="X7" i="11"/>
  <c r="X6" i="11"/>
  <c r="X5" i="11"/>
  <c r="X4" i="11"/>
  <c r="X3" i="11"/>
  <c r="X2" i="11"/>
  <c r="X1" i="11"/>
  <c r="G1" i="11" s="1"/>
  <c r="C708" i="11"/>
  <c r="C674" i="11"/>
  <c r="H689" i="11"/>
  <c r="C633" i="11"/>
  <c r="J722" i="11"/>
  <c r="H628" i="11"/>
  <c r="C634" i="11"/>
  <c r="C675" i="11"/>
  <c r="H690" i="11"/>
  <c r="H629" i="11"/>
  <c r="C707" i="11"/>
  <c r="J723" i="11"/>
  <c r="J499" i="11" l="1"/>
  <c r="J169" i="11"/>
  <c r="J821" i="11"/>
  <c r="J552" i="11"/>
  <c r="J715" i="11"/>
  <c r="J768" i="11"/>
  <c r="J605" i="11"/>
  <c r="J660" i="11"/>
  <c r="J10" i="11"/>
  <c r="J444" i="11"/>
  <c r="J389" i="11"/>
  <c r="J334" i="11"/>
  <c r="J279" i="11"/>
  <c r="J116" i="11"/>
  <c r="J224" i="11"/>
  <c r="J63" i="11"/>
  <c r="H464" i="11"/>
  <c r="H465" i="11"/>
  <c r="F461" i="11" l="1"/>
  <c r="C461" i="11"/>
  <c r="C464" i="11"/>
  <c r="C457" i="11"/>
  <c r="C465" i="11"/>
  <c r="C456" i="11"/>
  <c r="C470" i="11" l="1"/>
  <c r="I451" i="11"/>
  <c r="I455" i="11"/>
  <c r="H452" i="11"/>
  <c r="H473" i="11"/>
  <c r="G410" i="11"/>
  <c r="I450" i="11"/>
  <c r="H474" i="11"/>
  <c r="C469" i="11"/>
  <c r="C468" i="11"/>
  <c r="C474" i="11"/>
  <c r="I454" i="11"/>
  <c r="C473" i="11"/>
  <c r="I453" i="11"/>
  <c r="G409" i="11"/>
  <c r="I449" i="11"/>
  <c r="F406" i="11" l="1"/>
  <c r="C406" i="11"/>
  <c r="C403" i="11"/>
  <c r="C409" i="11"/>
  <c r="G419" i="11"/>
  <c r="C402" i="11"/>
  <c r="C401" i="11"/>
  <c r="C410" i="11"/>
  <c r="J411" i="11" l="1"/>
  <c r="I397" i="11"/>
  <c r="I401" i="11"/>
  <c r="C365" i="11"/>
  <c r="C355" i="11"/>
  <c r="C351" i="11"/>
  <c r="C348" i="11"/>
  <c r="J410" i="11"/>
  <c r="I395" i="11"/>
  <c r="C354" i="11"/>
  <c r="C347" i="11"/>
  <c r="C350" i="11"/>
  <c r="C353" i="11"/>
  <c r="I399" i="11"/>
  <c r="I400" i="11"/>
  <c r="J409" i="11"/>
  <c r="C419" i="11"/>
  <c r="C420" i="11"/>
  <c r="I396" i="11"/>
  <c r="C363" i="11"/>
  <c r="C364" i="11"/>
  <c r="C361" i="11" l="1"/>
  <c r="H365" i="11"/>
  <c r="H353" i="11"/>
  <c r="G303" i="11"/>
  <c r="C359" i="11"/>
  <c r="C360" i="11"/>
  <c r="H363" i="11"/>
  <c r="H351" i="11"/>
  <c r="H364" i="11"/>
  <c r="G301" i="11"/>
  <c r="H352" i="11"/>
  <c r="G302" i="11"/>
  <c r="C369" i="11" l="1"/>
  <c r="H349" i="11"/>
  <c r="H361" i="11"/>
  <c r="C303" i="11"/>
  <c r="G298" i="11"/>
  <c r="C297" i="11"/>
  <c r="C293" i="11"/>
  <c r="G296" i="11"/>
  <c r="C296" i="11"/>
  <c r="H359" i="11"/>
  <c r="C368" i="11"/>
  <c r="G297" i="11"/>
  <c r="C292" i="11"/>
  <c r="H360" i="11"/>
  <c r="C302" i="11"/>
  <c r="C291" i="11"/>
  <c r="C301" i="11"/>
  <c r="C367" i="11"/>
  <c r="H348" i="11"/>
  <c r="H347" i="11"/>
  <c r="H369" i="11" l="1"/>
  <c r="J303" i="11"/>
  <c r="I288" i="11"/>
  <c r="I292" i="11"/>
  <c r="G141" i="11"/>
  <c r="G156" i="11" s="1"/>
  <c r="I286" i="11"/>
  <c r="G140" i="11"/>
  <c r="H368" i="11"/>
  <c r="G155" i="11"/>
  <c r="I287" i="11"/>
  <c r="H367" i="11"/>
  <c r="I291" i="11"/>
  <c r="J301" i="11"/>
  <c r="I290" i="11"/>
  <c r="G139" i="11"/>
  <c r="J302" i="11"/>
  <c r="G154" i="11"/>
  <c r="C141" i="11" l="1"/>
  <c r="C156" i="11" s="1"/>
  <c r="C136" i="11"/>
  <c r="C135" i="11"/>
  <c r="C132" i="11"/>
  <c r="C139" i="11"/>
  <c r="C131" i="11"/>
  <c r="C140" i="11"/>
  <c r="C130" i="11"/>
  <c r="I136" i="11" l="1"/>
  <c r="C146" i="11"/>
  <c r="G146" i="11"/>
  <c r="C155" i="11"/>
  <c r="G144" i="11"/>
  <c r="C145" i="11"/>
  <c r="C154" i="11"/>
  <c r="I135" i="11"/>
  <c r="C144" i="11"/>
  <c r="G145" i="11"/>
  <c r="I134" i="11"/>
  <c r="F247" i="11" l="1"/>
  <c r="C247" i="11"/>
  <c r="C242" i="11"/>
  <c r="C241" i="11"/>
  <c r="C238" i="11"/>
  <c r="C245" i="11"/>
  <c r="F246" i="11"/>
  <c r="C246" i="11"/>
  <c r="F245" i="11"/>
  <c r="C237" i="11"/>
  <c r="C236" i="11"/>
  <c r="I247" i="11" l="1"/>
  <c r="I234" i="11"/>
  <c r="I238" i="11"/>
  <c r="I232" i="11"/>
  <c r="I237" i="11"/>
  <c r="I233" i="11"/>
  <c r="I245" i="11"/>
  <c r="I246" i="11"/>
  <c r="I236" i="1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<sst xmlns="http://schemas.openxmlformats.org/spreadsheetml/2006/main" count="1095" uniqueCount="131">
  <si>
    <t>Revision:</t>
  </si>
  <si>
    <t>Date:</t>
  </si>
  <si>
    <t>r =</t>
  </si>
  <si>
    <t>R. Abbott</t>
  </si>
  <si>
    <t>in</t>
  </si>
  <si>
    <t>Author:</t>
  </si>
  <si>
    <t>Check:</t>
  </si>
  <si>
    <t xml:space="preserve"> </t>
  </si>
  <si>
    <t>Report:</t>
  </si>
  <si>
    <t>Section:</t>
  </si>
  <si>
    <t>Document Number:</t>
  </si>
  <si>
    <t>Revision Level :</t>
  </si>
  <si>
    <t>Page:</t>
  </si>
  <si>
    <t>AA-SM-001-000</t>
  </si>
  <si>
    <t>AAAAAH98rX4=</t>
  </si>
  <si>
    <t>AAAAAH98rX8=</t>
  </si>
  <si>
    <t>Hollow Circle</t>
  </si>
  <si>
    <t xml:space="preserve">Page </t>
  </si>
  <si>
    <t>Title</t>
  </si>
  <si>
    <t>Sub</t>
  </si>
  <si>
    <t>Fig</t>
  </si>
  <si>
    <t>Table</t>
  </si>
  <si>
    <t>No</t>
  </si>
  <si>
    <t>Rectangle</t>
  </si>
  <si>
    <t>ẋ =</t>
  </si>
  <si>
    <t>R =</t>
  </si>
  <si>
    <t>ẏ =</t>
  </si>
  <si>
    <t>W =</t>
  </si>
  <si>
    <t>General Properties</t>
  </si>
  <si>
    <t>Area Moment of Intertia</t>
  </si>
  <si>
    <t>Weight Moment of Inertia</t>
  </si>
  <si>
    <t>A =</t>
  </si>
  <si>
    <t>B =</t>
  </si>
  <si>
    <t>in³</t>
  </si>
  <si>
    <t>lb</t>
  </si>
  <si>
    <t>lbin²</t>
  </si>
  <si>
    <t>Radius of Gyration</t>
  </si>
  <si>
    <t>b =</t>
  </si>
  <si>
    <t>Hollow Semi Circle</t>
  </si>
  <si>
    <t>Ellipse</t>
  </si>
  <si>
    <t>Hollow Ellipse</t>
  </si>
  <si>
    <t>in²</t>
  </si>
  <si>
    <t>in⁴</t>
  </si>
  <si>
    <t>in2</t>
  </si>
  <si>
    <t>Iₓ =</t>
  </si>
  <si>
    <t>Iᵧ =</t>
  </si>
  <si>
    <t>ρₓ =</t>
  </si>
  <si>
    <t>ρᵧ =</t>
  </si>
  <si>
    <t>a =</t>
  </si>
  <si>
    <t>t =</t>
  </si>
  <si>
    <r>
      <t>I</t>
    </r>
    <r>
      <rPr>
        <vertAlign val="subscript"/>
        <sz val="10"/>
        <rFont val="Calibri"/>
        <family val="2"/>
        <scheme val="minor"/>
      </rPr>
      <t>z</t>
    </r>
    <r>
      <rPr>
        <sz val="10"/>
        <rFont val="Calibri"/>
        <family val="2"/>
        <scheme val="minor"/>
      </rPr>
      <t xml:space="preserve"> =</t>
    </r>
  </si>
  <si>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</si>
  <si>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</si>
  <si>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</si>
  <si>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</si>
  <si>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</si>
  <si>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</si>
  <si>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</si>
  <si>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</si>
  <si>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</si>
  <si>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</si>
  <si>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</si>
  <si>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</si>
  <si>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</si>
  <si>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</si>
  <si>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</si>
  <si>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</si>
  <si>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SECTION PROPERTIES</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</si>
  <si>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</si>
  <si>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</si>
  <si>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</si>
  <si>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r>
      <t>y</t>
    </r>
    <r>
      <rPr>
        <vertAlign val="subscript"/>
        <sz val="10"/>
        <rFont val="Calibri"/>
        <family val="2"/>
        <scheme val="minor"/>
      </rPr>
      <t>c</t>
    </r>
    <r>
      <rPr>
        <sz val="10"/>
        <rFont val="Calibri"/>
        <family val="2"/>
        <scheme val="minor"/>
      </rPr>
      <t xml:space="preserve"> =</t>
    </r>
  </si>
  <si>
    <t>Zₓ =</t>
  </si>
  <si>
    <t>Zᵧ =</t>
  </si>
  <si>
    <t>Centroids</t>
  </si>
  <si>
    <r>
      <t>x</t>
    </r>
    <r>
      <rPr>
        <vertAlign val="subscript"/>
        <sz val="10"/>
        <rFont val="Calibri"/>
        <family val="2"/>
        <scheme val="minor"/>
      </rPr>
      <t>c</t>
    </r>
    <r>
      <rPr>
        <sz val="10"/>
        <rFont val="Calibri"/>
        <family val="2"/>
        <scheme val="minor"/>
      </rPr>
      <t xml:space="preserve"> =</t>
    </r>
  </si>
  <si>
    <t>d =</t>
  </si>
  <si>
    <t>ᵢ</t>
  </si>
  <si>
    <t>bᵢ =</t>
  </si>
  <si>
    <t>dᵢ =</t>
  </si>
  <si>
    <t>SFₓ =</t>
  </si>
  <si>
    <t>tw =</t>
  </si>
  <si>
    <t>SFᵧ =</t>
  </si>
  <si>
    <t>If twd ≥ bt, then</t>
  </si>
  <si>
    <t>If twd ≤ bt, then</t>
  </si>
  <si>
    <t>If 2twd ≥ bt, then</t>
  </si>
  <si>
    <t>If 2twd ≤ bt, then</t>
  </si>
  <si>
    <t>ẏ₂ =</t>
  </si>
  <si>
    <t>ẏ₁ =</t>
  </si>
  <si>
    <t>yp =</t>
  </si>
  <si>
    <t>if t/a ≥ 0.4 then</t>
  </si>
  <si>
    <t>if t/a ≤ 0.4 then</t>
  </si>
  <si>
    <t>t/a =</t>
  </si>
  <si>
    <t>and</t>
  </si>
  <si>
    <t xml:space="preserve"> Iᵧ =</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</si>
  <si>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</si>
  <si>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</si>
  <si>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</si>
  <si>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</si>
  <si>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</si>
  <si>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</si>
  <si>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</si>
  <si>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</si>
  <si>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</si>
  <si>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</si>
  <si>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</si>
  <si>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</si>
  <si>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</si>
  <si>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</si>
  <si>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</si>
  <si>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Second Moment of Area</t>
  </si>
  <si>
    <t>First Moment of Area</t>
  </si>
  <si>
    <t>First Moment of Area of Shape above Neutral Axis</t>
  </si>
  <si>
    <t>Qₓ =</t>
  </si>
  <si>
    <t>Qᵧ =</t>
  </si>
  <si>
    <t>Plastic Bending Shape Factor</t>
  </si>
  <si>
    <t>Area</t>
  </si>
  <si>
    <t>kₓ =</t>
  </si>
  <si>
    <t>kᵧ =</t>
  </si>
  <si>
    <t>Square</t>
  </si>
  <si>
    <t>Hollow Rectangle</t>
  </si>
  <si>
    <t>Tee Section</t>
  </si>
  <si>
    <t>Channel Section</t>
  </si>
  <si>
    <t>Wide Flange Beam with Equal Flanges</t>
  </si>
  <si>
    <t>Equal Legged Angle</t>
  </si>
  <si>
    <t>Unequal Legged Angle</t>
  </si>
  <si>
    <t>Equilateral Triangle</t>
  </si>
  <si>
    <t>Isocleles Triangle</t>
  </si>
  <si>
    <t>Semi-Circle</t>
  </si>
  <si>
    <t>B</t>
  </si>
  <si>
    <t>Circle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</si>
</sst>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8"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sz val="10"/>
      <color rgb="FF0000FF"/>
      <name val="Calibri"/>
      <family val="2"/>
      <scheme val="minor"/>
    </font>
    <font>
      <sz val="10"/>
      <color rgb="FFFF000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u/>
      <sz val="10"/>
      <color theme="10"/>
      <name val="Calibri"/>
      <family val="2"/>
      <scheme val="minor"/>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1" fillId="0" borderId="0"/>
    <xf numFmtId="0" fontId="1" fillId="0" borderId="0"/>
    <xf numFmtId="0" fontId="1" fillId="0" borderId="0"/>
    <xf numFmtId="0" fontId="14" fillId="0" borderId="0" applyNumberFormat="0" applyFill="0" applyBorder="0" applyAlignment="0" applyProtection="0">
      <alignment vertical="top"/>
      <protection locked="0"/>
    </xf>
    <xf numFmtId="0" fontId="5" fillId="0" borderId="0" applyProtection="0"/>
    <xf numFmtId="0" fontId="5" fillId="0" borderId="0"/>
    <xf numFmtId="0" fontId="14" fillId="0" borderId="0" applyNumberFormat="0" applyFill="0" applyBorder="0" applyAlignment="0" applyProtection="0">
      <alignment vertical="top"/>
      <protection locked="0"/>
    </xf>
  </cellStyleXfs>
  <cellXfs count="123">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xf numFmtId="0" fontId="5" fillId="0" borderId="0" xfId="0" quotePrefix="1" applyFont="1" applyBorder="1" applyProtection="1">
      <protection locked="0"/>
    </xf>
    <xf numFmtId="2" fontId="7" fillId="0" borderId="0" xfId="0" applyNumberFormat="1" applyFont="1" applyAlignment="1" applyProtection="1">
      <alignment horizontal="right" vertical="center"/>
      <protection locked="0"/>
    </xf>
    <xf numFmtId="1" fontId="5" fillId="0" borderId="0" xfId="0" applyNumberFormat="1" applyFont="1" applyFill="1" applyAlignment="1" applyProtection="1">
      <alignment horizontal="right"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164" fontId="5" fillId="0" borderId="0" xfId="0" applyNumberFormat="1" applyFont="1" applyFill="1" applyAlignment="1" applyProtection="1">
      <alignment horizontal="right"/>
      <protection locked="0"/>
    </xf>
    <xf numFmtId="2" fontId="5" fillId="0" borderId="1" xfId="0" applyNumberFormat="1" applyFont="1" applyBorder="1" applyAlignment="1">
      <alignment horizontal="center"/>
    </xf>
    <xf numFmtId="0" fontId="6" fillId="0" borderId="0" xfId="0" applyFont="1" applyAlignment="1">
      <alignment horizontal="right"/>
    </xf>
    <xf numFmtId="0" fontId="6" fillId="0" borderId="0" xfId="0" applyFont="1"/>
    <xf numFmtId="0" fontId="5" fillId="0" borderId="0" xfId="0" applyFont="1" applyAlignment="1">
      <alignment horizontal="right"/>
    </xf>
    <xf numFmtId="164" fontId="9" fillId="0" borderId="0" xfId="0" applyNumberFormat="1" applyFont="1"/>
    <xf numFmtId="0" fontId="6" fillId="0" borderId="0" xfId="0" applyFont="1" applyAlignment="1" applyProtection="1">
      <alignment horizontal="left" vertical="center"/>
      <protection locked="0"/>
    </xf>
    <xf numFmtId="164" fontId="5" fillId="0" borderId="0" xfId="0" applyNumberFormat="1" applyFont="1" applyAlignment="1" applyProtection="1">
      <alignment horizontal="right" vertical="center"/>
      <protection locked="0"/>
    </xf>
    <xf numFmtId="164" fontId="5" fillId="0" borderId="1" xfId="0" applyNumberFormat="1" applyFont="1" applyBorder="1" applyAlignment="1">
      <alignment horizontal="center"/>
    </xf>
    <xf numFmtId="1" fontId="7" fillId="0" borderId="0" xfId="0" applyNumberFormat="1" applyFont="1" applyAlignment="1">
      <alignment horizontal="center"/>
    </xf>
    <xf numFmtId="1" fontId="5" fillId="0" borderId="0" xfId="0" applyNumberFormat="1" applyFont="1"/>
    <xf numFmtId="1" fontId="7" fillId="0" borderId="0" xfId="0" applyNumberFormat="1" applyFont="1" applyFill="1" applyBorder="1" applyAlignment="1">
      <alignment horizontal="center"/>
    </xf>
    <xf numFmtId="2" fontId="5" fillId="0" borderId="0" xfId="0" applyNumberFormat="1" applyFont="1" applyAlignment="1">
      <alignment horizontal="center"/>
    </xf>
    <xf numFmtId="0" fontId="10" fillId="0" borderId="0" xfId="0" applyFont="1"/>
    <xf numFmtId="164" fontId="5" fillId="0" borderId="0" xfId="0" applyNumberFormat="1" applyFont="1" applyAlignment="1">
      <alignment horizontal="center"/>
    </xf>
    <xf numFmtId="1" fontId="5" fillId="0" borderId="0" xfId="0" applyNumberFormat="1"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11" fillId="0" borderId="0" xfId="3" applyFont="1" applyProtection="1">
      <protection locked="0"/>
    </xf>
    <xf numFmtId="0" fontId="11"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11"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2"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3" fillId="0" borderId="0" xfId="3" applyFont="1"/>
    <xf numFmtId="0" fontId="5" fillId="0" borderId="0" xfId="3" applyFont="1" applyBorder="1" applyAlignment="1"/>
    <xf numFmtId="0" fontId="13" fillId="0" borderId="0" xfId="3" applyFont="1" applyBorder="1" applyAlignment="1"/>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6" fillId="0" borderId="0" xfId="3" applyFont="1" applyProtection="1">
      <protection locked="0"/>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5"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2" fontId="5" fillId="0" borderId="0" xfId="0" applyNumberFormat="1" applyFont="1"/>
    <xf numFmtId="2" fontId="9" fillId="0" borderId="0" xfId="0" applyNumberFormat="1" applyFont="1"/>
    <xf numFmtId="2" fontId="5" fillId="0" borderId="0" xfId="0" applyNumberFormat="1" applyFont="1" applyAlignment="1">
      <alignment horizontal="right"/>
    </xf>
    <xf numFmtId="164" fontId="5" fillId="0" borderId="0" xfId="0" applyNumberFormat="1" applyFont="1" applyAlignment="1" applyProtection="1">
      <alignment vertical="center"/>
      <protection locked="0"/>
    </xf>
    <xf numFmtId="164" fontId="5" fillId="0" borderId="0" xfId="0" applyNumberFormat="1" applyFont="1" applyAlignment="1">
      <alignment horizontal="right"/>
    </xf>
    <xf numFmtId="0" fontId="5" fillId="0" borderId="0" xfId="3" applyFont="1" applyBorder="1" applyAlignment="1">
      <alignment horizontal="left" vertical="top" wrapText="1"/>
    </xf>
    <xf numFmtId="0" fontId="14" fillId="0" borderId="0" xfId="5" applyBorder="1" applyAlignment="1" applyProtection="1">
      <alignment horizontal="center"/>
    </xf>
    <xf numFmtId="0" fontId="14" fillId="0" borderId="0" xfId="8" applyBorder="1" applyAlignment="1" applyProtection="1">
      <alignment horizontal="center"/>
    </xf>
    <xf numFmtId="0" fontId="16" fillId="0" borderId="0" xfId="5" applyFont="1" applyBorder="1" applyAlignment="1" applyProtection="1">
      <alignment horizontal="center"/>
    </xf>
    <xf numFmtId="0" fontId="14" fillId="0" borderId="0" xfId="8" applyFont="1" applyBorder="1" applyAlignment="1" applyProtection="1">
      <alignment horizontal="center"/>
    </xf>
    <xf numFmtId="164" fontId="5" fillId="0" borderId="0" xfId="0" applyNumberFormat="1" applyFont="1" applyProtection="1">
      <protection locked="0"/>
    </xf>
    <xf numFmtId="164" fontId="5" fillId="0" borderId="0" xfId="0" applyNumberFormat="1" applyFont="1" applyAlignment="1">
      <alignment horizontal="left"/>
    </xf>
    <xf numFmtId="166" fontId="5" fillId="0" borderId="0" xfId="0" applyNumberFormat="1" applyFont="1"/>
    <xf numFmtId="166" fontId="5" fillId="0" borderId="0" xfId="0" applyNumberFormat="1" applyFont="1" applyAlignment="1" applyProtection="1">
      <alignment horizontal="right" vertical="center"/>
      <protection locked="0"/>
    </xf>
    <xf numFmtId="166" fontId="5" fillId="0" borderId="0" xfId="0" applyNumberFormat="1" applyFont="1" applyAlignment="1" applyProtection="1">
      <alignment vertical="center"/>
      <protection locked="0"/>
    </xf>
    <xf numFmtId="166" fontId="6" fillId="0" borderId="0" xfId="0" applyNumberFormat="1" applyFont="1"/>
    <xf numFmtId="166" fontId="5" fillId="0" borderId="0" xfId="0" applyNumberFormat="1" applyFont="1" applyAlignment="1">
      <alignment horizontal="right"/>
    </xf>
    <xf numFmtId="0" fontId="17" fillId="0" borderId="0" xfId="5" applyFont="1" applyBorder="1" applyAlignment="1" applyProtection="1">
      <alignment horizontal="center"/>
      <protection locked="0"/>
    </xf>
    <xf numFmtId="2" fontId="5" fillId="0" borderId="0" xfId="0" applyNumberFormat="1" applyFont="1" applyAlignment="1" applyProtection="1">
      <alignment horizontal="right" vertical="center"/>
      <protection locked="0"/>
    </xf>
    <xf numFmtId="2" fontId="5" fillId="0" borderId="0" xfId="0" applyNumberFormat="1" applyFont="1" applyAlignment="1" applyProtection="1">
      <alignment vertical="center"/>
      <protection locked="0"/>
    </xf>
    <xf numFmtId="2" fontId="6" fillId="0" borderId="0" xfId="0" applyNumberFormat="1" applyFont="1"/>
    <xf numFmtId="2" fontId="5" fillId="0" borderId="0" xfId="0" applyNumberFormat="1" applyFont="1" applyProtection="1">
      <protection locked="0"/>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4" fillId="0" borderId="0" xfId="8" applyBorder="1" applyAlignment="1" applyProtection="1">
      <alignment horizontal="center"/>
    </xf>
    <xf numFmtId="165" fontId="5" fillId="0" borderId="0" xfId="0" applyNumberFormat="1" applyFont="1" applyAlignment="1">
      <alignment horizontal="center"/>
    </xf>
    <xf numFmtId="0" fontId="5" fillId="0" borderId="0" xfId="0" applyFont="1" applyFill="1"/>
    <xf numFmtId="2" fontId="6" fillId="0" borderId="0" xfId="0" applyNumberFormat="1" applyFont="1" applyFill="1"/>
    <xf numFmtId="2" fontId="5" fillId="0" borderId="0" xfId="0" applyNumberFormat="1" applyFont="1" applyFill="1"/>
    <xf numFmtId="0" fontId="5" fillId="0" borderId="0" xfId="0" applyFont="1" applyFill="1" applyProtection="1">
      <protection locked="0"/>
    </xf>
    <xf numFmtId="2" fontId="5" fillId="0" borderId="0" xfId="0" applyNumberFormat="1" applyFont="1" applyFill="1" applyAlignment="1">
      <alignment horizontal="right"/>
    </xf>
    <xf numFmtId="0" fontId="5" fillId="0" borderId="0" xfId="0" quotePrefix="1" applyFont="1" applyFill="1" applyBorder="1" applyProtection="1">
      <protection locked="0"/>
    </xf>
    <xf numFmtId="2"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right" vertical="center"/>
      <protection locked="0"/>
    </xf>
    <xf numFmtId="166" fontId="5" fillId="0" borderId="0" xfId="0" applyNumberFormat="1" applyFont="1" applyFill="1"/>
  </cellXfs>
  <cellStyles count="9">
    <cellStyle name="BODY TEXT" xfId="6"/>
    <cellStyle name="Hyperlink" xfId="5" builtinId="8"/>
    <cellStyle name="Hyperlink 2" xfId="8"/>
    <cellStyle name="Normal" xfId="0" builtinId="0"/>
    <cellStyle name="Normal 2" xfId="1"/>
    <cellStyle name="Normal 2 2" xfId="3"/>
    <cellStyle name="Normal 3" xfId="2"/>
    <cellStyle name="Normal 4" xfId="4"/>
    <cellStyle name="Page Break" xfId="7"/>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255894</xdr:colOff>
      <xdr:row>228</xdr:row>
      <xdr:rowOff>76208</xdr:rowOff>
    </xdr:from>
    <xdr:to>
      <xdr:col>6</xdr:col>
      <xdr:colOff>229937</xdr:colOff>
      <xdr:row>234</xdr:row>
      <xdr:rowOff>35076</xdr:rowOff>
    </xdr:to>
    <xdr:grpSp>
      <xdr:nvGrpSpPr>
        <xdr:cNvPr id="22" name="Group 21"/>
        <xdr:cNvGrpSpPr/>
      </xdr:nvGrpSpPr>
      <xdr:grpSpPr>
        <a:xfrm>
          <a:off x="2724774" y="40393628"/>
          <a:ext cx="1208483" cy="1010428"/>
          <a:chOff x="3908458" y="15169207"/>
          <a:chExt cx="1163535" cy="962390"/>
        </a:xfrm>
      </xdr:grpSpPr>
      <xdr:sp macro="" textlink="">
        <xdr:nvSpPr>
          <xdr:cNvPr id="23" name="Oval 22"/>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24" name="TextBox 23"/>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sp macro="" textlink="">
        <xdr:nvSpPr>
          <xdr:cNvPr id="25" name="Oval 24"/>
          <xdr:cNvSpPr/>
        </xdr:nvSpPr>
        <xdr:spPr>
          <a:xfrm>
            <a:off x="4179982" y="15497349"/>
            <a:ext cx="455507" cy="457338"/>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26" name="Group 45"/>
          <xdr:cNvGrpSpPr/>
        </xdr:nvGrpSpPr>
        <xdr:grpSpPr>
          <a:xfrm>
            <a:off x="3908458" y="15169207"/>
            <a:ext cx="1163535" cy="962390"/>
            <a:chOff x="4679159" y="11264777"/>
            <a:chExt cx="1392930" cy="1147486"/>
          </a:xfrm>
        </xdr:grpSpPr>
        <xdr:grpSp>
          <xdr:nvGrpSpPr>
            <xdr:cNvPr id="30" name="Group 49"/>
            <xdr:cNvGrpSpPr/>
          </xdr:nvGrpSpPr>
          <xdr:grpSpPr>
            <a:xfrm>
              <a:off x="4679159" y="11447857"/>
              <a:ext cx="1202531" cy="964406"/>
              <a:chOff x="4679159" y="11447857"/>
              <a:chExt cx="1202531" cy="964406"/>
            </a:xfrm>
          </xdr:grpSpPr>
          <xdr:cxnSp macro="">
            <xdr:nvCxnSpPr>
              <xdr:cNvPr id="33" name="Straight Connector 32"/>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Rectangle 34"/>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1" name="TextBox 30"/>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2" name="TextBox 31"/>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27" name="Straight Arrow Connector 26"/>
          <xdr:cNvCxnSpPr>
            <a:endCxn id="23"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a:endCxn id="25" idx="1"/>
          </xdr:cNvCxnSpPr>
        </xdr:nvCxnSpPr>
        <xdr:spPr>
          <a:xfrm flipH="1" flipV="1">
            <a:off x="4245690" y="15562845"/>
            <a:ext cx="162911" cy="166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 name="TextBox 28"/>
          <xdr:cNvSpPr txBox="1"/>
        </xdr:nvSpPr>
        <xdr:spPr>
          <a:xfrm>
            <a:off x="4129111" y="15559071"/>
            <a:ext cx="215116"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41485</xdr:colOff>
      <xdr:row>119</xdr:row>
      <xdr:rowOff>52505</xdr:rowOff>
    </xdr:from>
    <xdr:to>
      <xdr:col>6</xdr:col>
      <xdr:colOff>344418</xdr:colOff>
      <xdr:row>127</xdr:row>
      <xdr:rowOff>75353</xdr:rowOff>
    </xdr:to>
    <xdr:grpSp>
      <xdr:nvGrpSpPr>
        <xdr:cNvPr id="53" name="Group 52"/>
        <xdr:cNvGrpSpPr/>
      </xdr:nvGrpSpPr>
      <xdr:grpSpPr>
        <a:xfrm>
          <a:off x="2510365" y="21129425"/>
          <a:ext cx="1537373" cy="1424928"/>
          <a:chOff x="4767938" y="24465643"/>
          <a:chExt cx="1488239" cy="1377623"/>
        </a:xfrm>
      </xdr:grpSpPr>
      <xdr:sp macro="" textlink="">
        <xdr:nvSpPr>
          <xdr:cNvPr id="54" name="TextBox 53"/>
          <xdr:cNvSpPr txBox="1"/>
        </xdr:nvSpPr>
        <xdr:spPr>
          <a:xfrm>
            <a:off x="4767938" y="24924513"/>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sp macro="" textlink="">
        <xdr:nvSpPr>
          <xdr:cNvPr id="55" name="Rectangle 54"/>
          <xdr:cNvSpPr/>
        </xdr:nvSpPr>
        <xdr:spPr>
          <a:xfrm>
            <a:off x="5330869" y="24677914"/>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56" name="Straight Connector 55"/>
          <xdr:cNvCxnSpPr/>
        </xdr:nvCxnSpPr>
        <xdr:spPr>
          <a:xfrm flipH="1">
            <a:off x="4920343" y="24677914"/>
            <a:ext cx="3724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flipH="1">
            <a:off x="4953000" y="25390928"/>
            <a:ext cx="3397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Arrow Connector 57"/>
          <xdr:cNvCxnSpPr/>
        </xdr:nvCxnSpPr>
        <xdr:spPr>
          <a:xfrm>
            <a:off x="4971638" y="24672471"/>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xdr:cNvCxnSpPr/>
        </xdr:nvCxnSpPr>
        <xdr:spPr>
          <a:xfrm flipV="1">
            <a:off x="5866993" y="25426307"/>
            <a:ext cx="0" cy="3075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flipV="1">
            <a:off x="5328150" y="25426307"/>
            <a:ext cx="0" cy="302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Arrow Connector 60"/>
          <xdr:cNvCxnSpPr/>
        </xdr:nvCxnSpPr>
        <xdr:spPr>
          <a:xfrm>
            <a:off x="5325428" y="25690289"/>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TextBox 61"/>
          <xdr:cNvSpPr txBox="1"/>
        </xdr:nvSpPr>
        <xdr:spPr>
          <a:xfrm>
            <a:off x="5459185" y="25664744"/>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sp macro="" textlink="">
        <xdr:nvSpPr>
          <xdr:cNvPr id="63" name="Rectangle 62"/>
          <xdr:cNvSpPr/>
        </xdr:nvSpPr>
        <xdr:spPr>
          <a:xfrm>
            <a:off x="5414823" y="24790139"/>
            <a:ext cx="365492" cy="48856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64" name="Group 45"/>
          <xdr:cNvGrpSpPr/>
        </xdr:nvGrpSpPr>
        <xdr:grpSpPr>
          <a:xfrm>
            <a:off x="5249228" y="24465643"/>
            <a:ext cx="1006949" cy="974951"/>
            <a:chOff x="4862263" y="11264777"/>
            <a:chExt cx="1209826" cy="1147486"/>
          </a:xfrm>
        </xdr:grpSpPr>
        <xdr:grpSp>
          <xdr:nvGrpSpPr>
            <xdr:cNvPr id="73" name="Group 49"/>
            <xdr:cNvGrpSpPr/>
          </xdr:nvGrpSpPr>
          <xdr:grpSpPr>
            <a:xfrm>
              <a:off x="4862263" y="11447857"/>
              <a:ext cx="1019427" cy="964406"/>
              <a:chOff x="4862263" y="11447857"/>
              <a:chExt cx="1019427" cy="964406"/>
            </a:xfrm>
          </xdr:grpSpPr>
          <xdr:cxnSp macro="">
            <xdr:nvCxnSpPr>
              <xdr:cNvPr id="76" name="Straight Connector 7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Rectangle 7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74" name="TextBox 73"/>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75" name="TextBox 74"/>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65" name="Straight Connector 64"/>
          <xdr:cNvCxnSpPr/>
        </xdr:nvCxnSpPr>
        <xdr:spPr>
          <a:xfrm flipH="1">
            <a:off x="5083629" y="24797657"/>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flipH="1">
            <a:off x="5083629" y="25265743"/>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xdr:nvCxnSpPr>
        <xdr:spPr>
          <a:xfrm>
            <a:off x="5162138" y="24797657"/>
            <a:ext cx="0" cy="46808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TextBox 67"/>
          <xdr:cNvSpPr txBox="1"/>
        </xdr:nvSpPr>
        <xdr:spPr>
          <a:xfrm>
            <a:off x="4985653" y="24919070"/>
            <a:ext cx="276055" cy="24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dᵢ</a:t>
            </a:r>
          </a:p>
        </xdr:txBody>
      </xdr:sp>
      <xdr:cxnSp macro="">
        <xdr:nvCxnSpPr>
          <xdr:cNvPr id="69" name="Straight Connector 68"/>
          <xdr:cNvCxnSpPr/>
        </xdr:nvCxnSpPr>
        <xdr:spPr>
          <a:xfrm flipV="1">
            <a:off x="5415236"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flipV="1">
            <a:off x="5779907"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Arrow Connector 70"/>
          <xdr:cNvCxnSpPr/>
        </xdr:nvCxnSpPr>
        <xdr:spPr>
          <a:xfrm>
            <a:off x="5415643" y="25516117"/>
            <a:ext cx="37011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TextBox 71"/>
          <xdr:cNvSpPr txBox="1"/>
        </xdr:nvSpPr>
        <xdr:spPr>
          <a:xfrm>
            <a:off x="5459185" y="25474244"/>
            <a:ext cx="233111" cy="189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bᵢ</a:t>
            </a:r>
          </a:p>
        </xdr:txBody>
      </xdr:sp>
    </xdr:grpSp>
    <xdr:clientData/>
  </xdr:twoCellAnchor>
  <xdr:twoCellAnchor>
    <xdr:from>
      <xdr:col>4</xdr:col>
      <xdr:colOff>192661</xdr:colOff>
      <xdr:row>283</xdr:row>
      <xdr:rowOff>57093</xdr:rowOff>
    </xdr:from>
    <xdr:to>
      <xdr:col>6</xdr:col>
      <xdr:colOff>269807</xdr:colOff>
      <xdr:row>290</xdr:row>
      <xdr:rowOff>24937</xdr:rowOff>
    </xdr:to>
    <xdr:grpSp>
      <xdr:nvGrpSpPr>
        <xdr:cNvPr id="79" name="Group 78"/>
        <xdr:cNvGrpSpPr/>
      </xdr:nvGrpSpPr>
      <xdr:grpSpPr>
        <a:xfrm>
          <a:off x="2661541" y="50082393"/>
          <a:ext cx="1311586" cy="1194664"/>
          <a:chOff x="5006915" y="29434560"/>
          <a:chExt cx="1265533" cy="1142490"/>
        </a:xfrm>
      </xdr:grpSpPr>
      <xdr:grpSp>
        <xdr:nvGrpSpPr>
          <xdr:cNvPr id="80" name="Group 31"/>
          <xdr:cNvGrpSpPr/>
        </xdr:nvGrpSpPr>
        <xdr:grpSpPr>
          <a:xfrm>
            <a:off x="5006915" y="29434560"/>
            <a:ext cx="1265533" cy="964354"/>
            <a:chOff x="4702877" y="11264771"/>
            <a:chExt cx="1514732" cy="1147492"/>
          </a:xfrm>
        </xdr:grpSpPr>
        <xdr:grpSp>
          <xdr:nvGrpSpPr>
            <xdr:cNvPr id="93" name="Group 26"/>
            <xdr:cNvGrpSpPr/>
          </xdr:nvGrpSpPr>
          <xdr:grpSpPr>
            <a:xfrm>
              <a:off x="4702877" y="11447857"/>
              <a:ext cx="1277714" cy="964406"/>
              <a:chOff x="4702877" y="11447857"/>
              <a:chExt cx="1277714" cy="964406"/>
            </a:xfrm>
          </xdr:grpSpPr>
          <xdr:cxnSp macro="">
            <xdr:nvCxnSpPr>
              <xdr:cNvPr id="96" name="Straight Connector 9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Rectangle 9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94" name="TextBox 9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95" name="TextBox 94"/>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81" name="Straight Arrow Connector 80"/>
          <xdr:cNvCxnSpPr/>
        </xdr:nvCxnSpPr>
        <xdr:spPr>
          <a:xfrm flipV="1">
            <a:off x="5485846" y="29879745"/>
            <a:ext cx="236343" cy="315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TextBox 81"/>
          <xdr:cNvSpPr txBox="1"/>
        </xdr:nvSpPr>
        <xdr:spPr>
          <a:xfrm>
            <a:off x="5666575" y="29732397"/>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nvGrpSpPr>
          <xdr:cNvPr id="83" name="Group 157"/>
          <xdr:cNvGrpSpPr/>
        </xdr:nvGrpSpPr>
        <xdr:grpSpPr>
          <a:xfrm>
            <a:off x="5102934" y="29806340"/>
            <a:ext cx="777408" cy="770710"/>
            <a:chOff x="5270124" y="30772065"/>
            <a:chExt cx="917480" cy="909574"/>
          </a:xfrm>
        </xdr:grpSpPr>
        <xdr:sp macro="" textlink="">
          <xdr:nvSpPr>
            <xdr:cNvPr id="91" name="Arc 90"/>
            <xdr:cNvSpPr/>
          </xdr:nvSpPr>
          <xdr:spPr>
            <a:xfrm>
              <a:off x="5270124" y="30772065"/>
              <a:ext cx="917480" cy="909574"/>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92" name="Straight Connector 91"/>
            <xdr:cNvCxnSpPr>
              <a:stCxn id="91" idx="2"/>
              <a:endCxn id="9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4" name="Straight Connector 83"/>
          <xdr:cNvCxnSpPr/>
        </xdr:nvCxnSpPr>
        <xdr:spPr>
          <a:xfrm flipV="1">
            <a:off x="5103961" y="29635330"/>
            <a:ext cx="0" cy="445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Arrow Connector 84"/>
          <xdr:cNvCxnSpPr/>
        </xdr:nvCxnSpPr>
        <xdr:spPr>
          <a:xfrm>
            <a:off x="5103962" y="29703623"/>
            <a:ext cx="38818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6" name="TextBox 85"/>
          <xdr:cNvSpPr txBox="1"/>
        </xdr:nvSpPr>
        <xdr:spPr>
          <a:xfrm>
            <a:off x="5192122" y="2954189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87" name="Straight Connector 86"/>
          <xdr:cNvCxnSpPr/>
        </xdr:nvCxnSpPr>
        <xdr:spPr>
          <a:xfrm>
            <a:off x="5909094" y="30188858"/>
            <a:ext cx="1653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Arrow Connector 87"/>
          <xdr:cNvCxnSpPr/>
        </xdr:nvCxnSpPr>
        <xdr:spPr>
          <a:xfrm>
            <a:off x="6006142" y="29746755"/>
            <a:ext cx="0" cy="2480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Straight Arrow Connector 88"/>
          <xdr:cNvCxnSpPr/>
        </xdr:nvCxnSpPr>
        <xdr:spPr>
          <a:xfrm flipV="1">
            <a:off x="6002547" y="30188858"/>
            <a:ext cx="0" cy="219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TextBox 89"/>
          <xdr:cNvSpPr txBox="1"/>
        </xdr:nvSpPr>
        <xdr:spPr>
          <a:xfrm>
            <a:off x="5889424" y="2998040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clientData/>
  </xdr:twoCellAnchor>
  <xdr:twoCellAnchor>
    <xdr:from>
      <xdr:col>4</xdr:col>
      <xdr:colOff>318465</xdr:colOff>
      <xdr:row>338</xdr:row>
      <xdr:rowOff>3902</xdr:rowOff>
    </xdr:from>
    <xdr:to>
      <xdr:col>6</xdr:col>
      <xdr:colOff>395610</xdr:colOff>
      <xdr:row>344</xdr:row>
      <xdr:rowOff>133671</xdr:rowOff>
    </xdr:to>
    <xdr:grpSp>
      <xdr:nvGrpSpPr>
        <xdr:cNvPr id="99" name="Group 98"/>
        <xdr:cNvGrpSpPr/>
      </xdr:nvGrpSpPr>
      <xdr:grpSpPr>
        <a:xfrm>
          <a:off x="2787345" y="59737082"/>
          <a:ext cx="1311585" cy="1181329"/>
          <a:chOff x="4826378" y="33421402"/>
          <a:chExt cx="1265531" cy="1142490"/>
        </a:xfrm>
      </xdr:grpSpPr>
      <xdr:sp macro="" textlink="">
        <xdr:nvSpPr>
          <xdr:cNvPr id="100" name="Arc 99"/>
          <xdr:cNvSpPr/>
        </xdr:nvSpPr>
        <xdr:spPr>
          <a:xfrm>
            <a:off x="4922659" y="33791677"/>
            <a:ext cx="777801" cy="772215"/>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101" name="TextBox 100"/>
          <xdr:cNvSpPr txBox="1"/>
        </xdr:nvSpPr>
        <xdr:spPr>
          <a:xfrm>
            <a:off x="5486110" y="33718874"/>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cxnSp macro="">
        <xdr:nvCxnSpPr>
          <xdr:cNvPr id="102" name="Straight Connector 101"/>
          <xdr:cNvCxnSpPr>
            <a:stCxn id="100" idx="2"/>
            <a:endCxn id="100" idx="0"/>
          </xdr:cNvCxnSpPr>
        </xdr:nvCxnSpPr>
        <xdr:spPr>
          <a:xfrm flipH="1" flipV="1">
            <a:off x="4922662" y="34176346"/>
            <a:ext cx="777798" cy="1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flipV="1">
            <a:off x="4923688" y="33622652"/>
            <a:ext cx="0" cy="4451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Arrow Connector 103"/>
          <xdr:cNvCxnSpPr/>
        </xdr:nvCxnSpPr>
        <xdr:spPr>
          <a:xfrm>
            <a:off x="4923689" y="33689733"/>
            <a:ext cx="38924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5" name="TextBox 104"/>
          <xdr:cNvSpPr txBox="1"/>
        </xdr:nvSpPr>
        <xdr:spPr>
          <a:xfrm>
            <a:off x="5012090" y="33528028"/>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106" name="Straight Connector 105"/>
          <xdr:cNvCxnSpPr/>
        </xdr:nvCxnSpPr>
        <xdr:spPr>
          <a:xfrm>
            <a:off x="5729290" y="34174912"/>
            <a:ext cx="1657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Arrow Connector 106"/>
          <xdr:cNvCxnSpPr/>
        </xdr:nvCxnSpPr>
        <xdr:spPr>
          <a:xfrm>
            <a:off x="5826602" y="33733416"/>
            <a:ext cx="0" cy="247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8" name="Straight Arrow Connector 107"/>
          <xdr:cNvCxnSpPr/>
        </xdr:nvCxnSpPr>
        <xdr:spPr>
          <a:xfrm flipV="1">
            <a:off x="5822997" y="34174912"/>
            <a:ext cx="0" cy="219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9" name="TextBox 108"/>
          <xdr:cNvSpPr txBox="1"/>
        </xdr:nvSpPr>
        <xdr:spPr>
          <a:xfrm>
            <a:off x="5709566" y="33965884"/>
            <a:ext cx="216749" cy="176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110" name="Group 195"/>
          <xdr:cNvGrpSpPr/>
        </xdr:nvGrpSpPr>
        <xdr:grpSpPr>
          <a:xfrm>
            <a:off x="5016921" y="33889878"/>
            <a:ext cx="581658" cy="575813"/>
            <a:chOff x="5270124" y="30772065"/>
            <a:chExt cx="917480" cy="909574"/>
          </a:xfrm>
        </xdr:grpSpPr>
        <xdr:sp macro="" textlink="">
          <xdr:nvSpPr>
            <xdr:cNvPr id="121" name="Arc 120"/>
            <xdr:cNvSpPr/>
          </xdr:nvSpPr>
          <xdr:spPr>
            <a:xfrm>
              <a:off x="5270124" y="30772065"/>
              <a:ext cx="917480" cy="909574"/>
            </a:xfrm>
            <a:prstGeom prst="arc">
              <a:avLst>
                <a:gd name="adj1" fmla="val 10812625"/>
                <a:gd name="adj2" fmla="val 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122" name="Straight Connector 121"/>
            <xdr:cNvCxnSpPr>
              <a:stCxn id="121" idx="2"/>
              <a:endCxn id="12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 name="Straight Arrow Connector 110"/>
          <xdr:cNvCxnSpPr/>
        </xdr:nvCxnSpPr>
        <xdr:spPr>
          <a:xfrm flipV="1">
            <a:off x="5306614" y="33866019"/>
            <a:ext cx="235261" cy="3150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12" name="Group 31"/>
          <xdr:cNvGrpSpPr/>
        </xdr:nvGrpSpPr>
        <xdr:grpSpPr>
          <a:xfrm>
            <a:off x="4826378" y="33421402"/>
            <a:ext cx="1265531" cy="964164"/>
            <a:chOff x="4702877" y="11264771"/>
            <a:chExt cx="1514732" cy="1147492"/>
          </a:xfrm>
        </xdr:grpSpPr>
        <xdr:grpSp>
          <xdr:nvGrpSpPr>
            <xdr:cNvPr id="115" name="Group 26"/>
            <xdr:cNvGrpSpPr/>
          </xdr:nvGrpSpPr>
          <xdr:grpSpPr>
            <a:xfrm>
              <a:off x="4702877" y="11447857"/>
              <a:ext cx="1277714" cy="964406"/>
              <a:chOff x="4702877" y="11447857"/>
              <a:chExt cx="1277714" cy="964406"/>
            </a:xfrm>
          </xdr:grpSpPr>
          <xdr:cxnSp macro="">
            <xdr:nvCxnSpPr>
              <xdr:cNvPr id="118" name="Straight Connector 117"/>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Rectangle 11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16" name="TextBox 115"/>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17" name="TextBox 116"/>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13" name="Straight Arrow Connector 112"/>
          <xdr:cNvCxnSpPr>
            <a:stCxn id="121" idx="1"/>
          </xdr:cNvCxnSpPr>
        </xdr:nvCxnSpPr>
        <xdr:spPr>
          <a:xfrm flipH="1" flipV="1">
            <a:off x="5078571" y="34012540"/>
            <a:ext cx="228629" cy="165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TextBox 113"/>
          <xdr:cNvSpPr txBox="1"/>
        </xdr:nvSpPr>
        <xdr:spPr>
          <a:xfrm>
            <a:off x="4968809" y="34002422"/>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213947</xdr:colOff>
      <xdr:row>393</xdr:row>
      <xdr:rowOff>25461</xdr:rowOff>
    </xdr:from>
    <xdr:to>
      <xdr:col>6</xdr:col>
      <xdr:colOff>291489</xdr:colOff>
      <xdr:row>399</xdr:row>
      <xdr:rowOff>30910</xdr:rowOff>
    </xdr:to>
    <xdr:grpSp>
      <xdr:nvGrpSpPr>
        <xdr:cNvPr id="123" name="Group 122"/>
        <xdr:cNvGrpSpPr/>
      </xdr:nvGrpSpPr>
      <xdr:grpSpPr>
        <a:xfrm>
          <a:off x="2682827" y="69466521"/>
          <a:ext cx="1311982" cy="1057009"/>
          <a:chOff x="4677065" y="38648268"/>
          <a:chExt cx="1264175" cy="1017549"/>
        </a:xfrm>
      </xdr:grpSpPr>
      <xdr:grpSp>
        <xdr:nvGrpSpPr>
          <xdr:cNvPr id="124" name="Group 31"/>
          <xdr:cNvGrpSpPr/>
        </xdr:nvGrpSpPr>
        <xdr:grpSpPr>
          <a:xfrm>
            <a:off x="4795024" y="38648268"/>
            <a:ext cx="1146216" cy="974005"/>
            <a:chOff x="4679159" y="11264771"/>
            <a:chExt cx="1379274" cy="1147492"/>
          </a:xfrm>
        </xdr:grpSpPr>
        <xdr:grpSp>
          <xdr:nvGrpSpPr>
            <xdr:cNvPr id="133" name="Group 26"/>
            <xdr:cNvGrpSpPr/>
          </xdr:nvGrpSpPr>
          <xdr:grpSpPr>
            <a:xfrm>
              <a:off x="4679159" y="11447857"/>
              <a:ext cx="1202531" cy="964406"/>
              <a:chOff x="4679159" y="11447857"/>
              <a:chExt cx="1202531" cy="964406"/>
            </a:xfrm>
          </xdr:grpSpPr>
          <xdr:cxnSp macro="">
            <xdr:nvCxnSpPr>
              <xdr:cNvPr id="136" name="Straight Connector 13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Straight Connector 136"/>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Rectangle 13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34" name="TextBox 13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35" name="TextBox 134"/>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125" name="Oval 124"/>
          <xdr:cNvSpPr/>
        </xdr:nvSpPr>
        <xdr:spPr>
          <a:xfrm>
            <a:off x="4923824" y="39021240"/>
            <a:ext cx="748795" cy="38891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26" name="TextBox 125"/>
          <xdr:cNvSpPr txBox="1"/>
        </xdr:nvSpPr>
        <xdr:spPr>
          <a:xfrm>
            <a:off x="4974431" y="38792411"/>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27" name="Straight Connector 126"/>
          <xdr:cNvCxnSpPr>
            <a:stCxn id="125" idx="2"/>
          </xdr:cNvCxnSpPr>
        </xdr:nvCxnSpPr>
        <xdr:spPr>
          <a:xfrm flipH="1" flipV="1">
            <a:off x="4920476" y="38881844"/>
            <a:ext cx="3348" cy="33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 name="Straight Arrow Connector 127"/>
          <xdr:cNvCxnSpPr/>
        </xdr:nvCxnSpPr>
        <xdr:spPr>
          <a:xfrm>
            <a:off x="4925122" y="38959573"/>
            <a:ext cx="36706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a:stCxn id="125" idx="4"/>
          </xdr:cNvCxnSpPr>
        </xdr:nvCxnSpPr>
        <xdr:spPr>
          <a:xfrm flipH="1">
            <a:off x="4799671" y="39410153"/>
            <a:ext cx="4985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Arrow Connector 129"/>
          <xdr:cNvCxnSpPr/>
        </xdr:nvCxnSpPr>
        <xdr:spPr>
          <a:xfrm>
            <a:off x="4822902" y="39001390"/>
            <a:ext cx="0" cy="213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1" name="Straight Arrow Connector 130"/>
          <xdr:cNvCxnSpPr/>
        </xdr:nvCxnSpPr>
        <xdr:spPr>
          <a:xfrm flipV="1">
            <a:off x="4827549" y="39414915"/>
            <a:ext cx="0" cy="2509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2" name="TextBox 131"/>
          <xdr:cNvSpPr txBox="1"/>
        </xdr:nvSpPr>
        <xdr:spPr>
          <a:xfrm>
            <a:off x="4677065" y="39219874"/>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clientData/>
  </xdr:twoCellAnchor>
  <xdr:twoCellAnchor>
    <xdr:from>
      <xdr:col>4</xdr:col>
      <xdr:colOff>440965</xdr:colOff>
      <xdr:row>446</xdr:row>
      <xdr:rowOff>136543</xdr:rowOff>
    </xdr:from>
    <xdr:to>
      <xdr:col>6</xdr:col>
      <xdr:colOff>518504</xdr:colOff>
      <xdr:row>452</xdr:row>
      <xdr:rowOff>141992</xdr:rowOff>
    </xdr:to>
    <xdr:grpSp>
      <xdr:nvGrpSpPr>
        <xdr:cNvPr id="139" name="Group 138"/>
        <xdr:cNvGrpSpPr/>
      </xdr:nvGrpSpPr>
      <xdr:grpSpPr>
        <a:xfrm>
          <a:off x="2909845" y="78934963"/>
          <a:ext cx="1311979" cy="1057009"/>
          <a:chOff x="4049833" y="42706968"/>
          <a:chExt cx="1262846" cy="1021532"/>
        </a:xfrm>
      </xdr:grpSpPr>
      <xdr:sp macro="" textlink="">
        <xdr:nvSpPr>
          <xdr:cNvPr id="140" name="Oval 139"/>
          <xdr:cNvSpPr/>
        </xdr:nvSpPr>
        <xdr:spPr>
          <a:xfrm>
            <a:off x="4296333" y="43081401"/>
            <a:ext cx="748008" cy="390435"/>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41" name="TextBox 140"/>
          <xdr:cNvSpPr txBox="1"/>
        </xdr:nvSpPr>
        <xdr:spPr>
          <a:xfrm>
            <a:off x="4346886" y="42851676"/>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42" name="Straight Connector 141"/>
          <xdr:cNvCxnSpPr>
            <a:stCxn id="140" idx="2"/>
          </xdr:cNvCxnSpPr>
        </xdr:nvCxnSpPr>
        <xdr:spPr>
          <a:xfrm flipH="1" flipV="1">
            <a:off x="4292989" y="42941461"/>
            <a:ext cx="3344" cy="3351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Arrow Connector 142"/>
          <xdr:cNvCxnSpPr/>
        </xdr:nvCxnSpPr>
        <xdr:spPr>
          <a:xfrm>
            <a:off x="4297629" y="43019492"/>
            <a:ext cx="366675"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xdr:cNvCxnSpPr>
            <a:stCxn id="140" idx="4"/>
          </xdr:cNvCxnSpPr>
        </xdr:nvCxnSpPr>
        <xdr:spPr>
          <a:xfrm flipH="1">
            <a:off x="4172311" y="43471836"/>
            <a:ext cx="4980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Arrow Connector 144"/>
          <xdr:cNvCxnSpPr/>
        </xdr:nvCxnSpPr>
        <xdr:spPr>
          <a:xfrm>
            <a:off x="4195517" y="43061473"/>
            <a:ext cx="0" cy="2145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6" name="Straight Arrow Connector 145"/>
          <xdr:cNvCxnSpPr/>
        </xdr:nvCxnSpPr>
        <xdr:spPr>
          <a:xfrm flipV="1">
            <a:off x="4200159" y="43476616"/>
            <a:ext cx="0" cy="251884"/>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47" name="TextBox 146"/>
          <xdr:cNvSpPr txBox="1"/>
        </xdr:nvSpPr>
        <xdr:spPr>
          <a:xfrm>
            <a:off x="4049833" y="43280812"/>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sp macro="" textlink="">
        <xdr:nvSpPr>
          <xdr:cNvPr id="148" name="Oval 147"/>
          <xdr:cNvSpPr/>
        </xdr:nvSpPr>
        <xdr:spPr>
          <a:xfrm>
            <a:off x="4330396" y="43107440"/>
            <a:ext cx="679882" cy="338356"/>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149" name="Group 31"/>
          <xdr:cNvGrpSpPr/>
        </xdr:nvGrpSpPr>
        <xdr:grpSpPr>
          <a:xfrm>
            <a:off x="4167668" y="42706968"/>
            <a:ext cx="1145011" cy="977818"/>
            <a:chOff x="4679159" y="11264771"/>
            <a:chExt cx="1379274" cy="1147492"/>
          </a:xfrm>
        </xdr:grpSpPr>
        <xdr:grpSp>
          <xdr:nvGrpSpPr>
            <xdr:cNvPr id="157" name="Group 26"/>
            <xdr:cNvGrpSpPr/>
          </xdr:nvGrpSpPr>
          <xdr:grpSpPr>
            <a:xfrm>
              <a:off x="4679159" y="11447857"/>
              <a:ext cx="1202531" cy="964406"/>
              <a:chOff x="4679159" y="11447857"/>
              <a:chExt cx="1202531" cy="964406"/>
            </a:xfrm>
          </xdr:grpSpPr>
          <xdr:cxnSp macro="">
            <xdr:nvCxnSpPr>
              <xdr:cNvPr id="160" name="Straight Connector 159"/>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2" name="Rectangle 161"/>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58" name="TextBox 157"/>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59" name="TextBox 158"/>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55" name="Straight Arrow Connector 154"/>
          <xdr:cNvCxnSpPr/>
        </xdr:nvCxnSpPr>
        <xdr:spPr>
          <a:xfrm flipV="1">
            <a:off x="5108436" y="43269106"/>
            <a:ext cx="0" cy="221364"/>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466954</xdr:colOff>
      <xdr:row>12</xdr:row>
      <xdr:rowOff>5041</xdr:rowOff>
    </xdr:from>
    <xdr:to>
      <xdr:col>6</xdr:col>
      <xdr:colOff>107324</xdr:colOff>
      <xdr:row>19</xdr:row>
      <xdr:rowOff>118241</xdr:rowOff>
    </xdr:to>
    <xdr:grpSp>
      <xdr:nvGrpSpPr>
        <xdr:cNvPr id="4" name="Group 3"/>
        <xdr:cNvGrpSpPr/>
      </xdr:nvGrpSpPr>
      <xdr:grpSpPr>
        <a:xfrm>
          <a:off x="2318614" y="2131021"/>
          <a:ext cx="1492030" cy="1340020"/>
          <a:chOff x="2260282" y="11113162"/>
          <a:chExt cx="1433697" cy="1262769"/>
        </a:xfrm>
      </xdr:grpSpPr>
      <xdr:sp macro="" textlink="">
        <xdr:nvSpPr>
          <xdr:cNvPr id="281" name="TextBox 280"/>
          <xdr:cNvSpPr txBox="1"/>
        </xdr:nvSpPr>
        <xdr:spPr>
          <a:xfrm>
            <a:off x="2260282" y="11620920"/>
            <a:ext cx="215708" cy="216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nvGrpSpPr>
          <xdr:cNvPr id="282" name="Group 45"/>
          <xdr:cNvGrpSpPr/>
        </xdr:nvGrpSpPr>
        <xdr:grpSpPr>
          <a:xfrm>
            <a:off x="2641574" y="11113162"/>
            <a:ext cx="1052405" cy="1005044"/>
            <a:chOff x="4862263" y="11184419"/>
            <a:chExt cx="1252938" cy="1227844"/>
          </a:xfrm>
        </xdr:grpSpPr>
        <xdr:grpSp>
          <xdr:nvGrpSpPr>
            <xdr:cNvPr id="291" name="Group 290"/>
            <xdr:cNvGrpSpPr/>
          </xdr:nvGrpSpPr>
          <xdr:grpSpPr>
            <a:xfrm>
              <a:off x="4862263" y="11447857"/>
              <a:ext cx="1019427" cy="964406"/>
              <a:chOff x="4862263" y="11447857"/>
              <a:chExt cx="1019427" cy="964406"/>
            </a:xfrm>
          </xdr:grpSpPr>
          <xdr:cxnSp macro="">
            <xdr:nvCxnSpPr>
              <xdr:cNvPr id="294" name="Straight Connector 293"/>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 name="Straight Connector 294"/>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6" name="Rectangle 295"/>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292" name="TextBox 291"/>
            <xdr:cNvSpPr txBox="1"/>
          </xdr:nvSpPr>
          <xdr:spPr>
            <a:xfrm>
              <a:off x="5138599" y="11184419"/>
              <a:ext cx="291434"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93" name="TextBox 292"/>
            <xdr:cNvSpPr txBox="1"/>
          </xdr:nvSpPr>
          <xdr:spPr>
            <a:xfrm>
              <a:off x="5819005" y="11809492"/>
              <a:ext cx="296196"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283" name="Rectangle 282"/>
          <xdr:cNvSpPr/>
        </xdr:nvSpPr>
        <xdr:spPr>
          <a:xfrm>
            <a:off x="2646678" y="11381583"/>
            <a:ext cx="693895" cy="686612"/>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xnSp macro="">
        <xdr:nvCxnSpPr>
          <xdr:cNvPr id="284" name="Straight Connector 283"/>
          <xdr:cNvCxnSpPr/>
        </xdr:nvCxnSpPr>
        <xdr:spPr>
          <a:xfrm flipH="1">
            <a:off x="2351185" y="11381583"/>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Straight Connector 284"/>
          <xdr:cNvCxnSpPr/>
        </xdr:nvCxnSpPr>
        <xdr:spPr>
          <a:xfrm flipH="1">
            <a:off x="2351185" y="12068195"/>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6" name="Straight Arrow Connector 285"/>
          <xdr:cNvCxnSpPr/>
        </xdr:nvCxnSpPr>
        <xdr:spPr>
          <a:xfrm>
            <a:off x="2444162" y="11376434"/>
            <a:ext cx="0" cy="6969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7" name="Straight Connector 286"/>
          <xdr:cNvCxnSpPr/>
        </xdr:nvCxnSpPr>
        <xdr:spPr>
          <a:xfrm rot="5400000" flipH="1">
            <a:off x="3229561"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8" name="Straight Connector 287"/>
          <xdr:cNvCxnSpPr/>
        </xdr:nvCxnSpPr>
        <xdr:spPr>
          <a:xfrm rot="5400000" flipH="1">
            <a:off x="2527822"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9" name="Straight Arrow Connector 288"/>
          <xdr:cNvCxnSpPr/>
        </xdr:nvCxnSpPr>
        <xdr:spPr>
          <a:xfrm>
            <a:off x="2631834" y="12235988"/>
            <a:ext cx="71627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0" name="TextBox 289"/>
          <xdr:cNvSpPr txBox="1"/>
        </xdr:nvSpPr>
        <xdr:spPr>
          <a:xfrm>
            <a:off x="2871255" y="12170450"/>
            <a:ext cx="215710" cy="20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clientData/>
  </xdr:twoCellAnchor>
  <xdr:twoCellAnchor>
    <xdr:from>
      <xdr:col>3</xdr:col>
      <xdr:colOff>586154</xdr:colOff>
      <xdr:row>64</xdr:row>
      <xdr:rowOff>190487</xdr:rowOff>
    </xdr:from>
    <xdr:to>
      <xdr:col>6</xdr:col>
      <xdr:colOff>133275</xdr:colOff>
      <xdr:row>72</xdr:row>
      <xdr:rowOff>92530</xdr:rowOff>
    </xdr:to>
    <xdr:grpSp>
      <xdr:nvGrpSpPr>
        <xdr:cNvPr id="348" name="Group 347"/>
        <xdr:cNvGrpSpPr/>
      </xdr:nvGrpSpPr>
      <xdr:grpSpPr>
        <a:xfrm>
          <a:off x="2437814" y="11506187"/>
          <a:ext cx="1398781" cy="1326983"/>
          <a:chOff x="4025400" y="20567307"/>
          <a:chExt cx="1332931" cy="1286342"/>
        </a:xfrm>
      </xdr:grpSpPr>
      <xdr:sp macro="" textlink="">
        <xdr:nvSpPr>
          <xdr:cNvPr id="349" name="TextBox 348"/>
          <xdr:cNvSpPr txBox="1"/>
        </xdr:nvSpPr>
        <xdr:spPr>
          <a:xfrm>
            <a:off x="4025400" y="21049199"/>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d</a:t>
            </a:r>
          </a:p>
        </xdr:txBody>
      </xdr:sp>
      <xdr:grpSp>
        <xdr:nvGrpSpPr>
          <xdr:cNvPr id="350" name="Group 45"/>
          <xdr:cNvGrpSpPr/>
        </xdr:nvGrpSpPr>
        <xdr:grpSpPr>
          <a:xfrm>
            <a:off x="4327069" y="20567307"/>
            <a:ext cx="1031262" cy="997973"/>
            <a:chOff x="4862263" y="11237681"/>
            <a:chExt cx="1239038" cy="1174582"/>
          </a:xfrm>
        </xdr:grpSpPr>
        <xdr:grpSp>
          <xdr:nvGrpSpPr>
            <xdr:cNvPr id="359" name="Group 358"/>
            <xdr:cNvGrpSpPr/>
          </xdr:nvGrpSpPr>
          <xdr:grpSpPr>
            <a:xfrm>
              <a:off x="4862263" y="11447857"/>
              <a:ext cx="1019427" cy="964406"/>
              <a:chOff x="4862263" y="11447857"/>
              <a:chExt cx="1019427" cy="964406"/>
            </a:xfrm>
          </xdr:grpSpPr>
          <xdr:cxnSp macro="">
            <xdr:nvCxnSpPr>
              <xdr:cNvPr id="362" name="Straight Connector 361"/>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 name="Straight Connector 362"/>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4" name="Rectangle 363"/>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grpSp>
        <xdr:sp macro="" textlink="">
          <xdr:nvSpPr>
            <xdr:cNvPr id="360" name="TextBox 359"/>
            <xdr:cNvSpPr txBox="1"/>
          </xdr:nvSpPr>
          <xdr:spPr>
            <a:xfrm>
              <a:off x="5147295" y="11237681"/>
              <a:ext cx="278492"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Y</a:t>
              </a:r>
            </a:p>
          </xdr:txBody>
        </xdr:sp>
        <xdr:sp macro="" textlink="">
          <xdr:nvSpPr>
            <xdr:cNvPr id="361" name="TextBox 360"/>
            <xdr:cNvSpPr txBox="1"/>
          </xdr:nvSpPr>
          <xdr:spPr>
            <a:xfrm>
              <a:off x="5819005" y="11809492"/>
              <a:ext cx="282296"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X</a:t>
              </a:r>
            </a:p>
          </xdr:txBody>
        </xdr:sp>
      </xdr:grpSp>
      <xdr:sp macro="" textlink="">
        <xdr:nvSpPr>
          <xdr:cNvPr id="351" name="Rectangle 350"/>
          <xdr:cNvSpPr/>
        </xdr:nvSpPr>
        <xdr:spPr>
          <a:xfrm>
            <a:off x="4408712" y="20802600"/>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cxnSp macro="">
        <xdr:nvCxnSpPr>
          <xdr:cNvPr id="352" name="Straight Connector 351"/>
          <xdr:cNvCxnSpPr/>
        </xdr:nvCxnSpPr>
        <xdr:spPr>
          <a:xfrm flipH="1">
            <a:off x="4136571" y="20802600"/>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 name="Straight Connector 352"/>
          <xdr:cNvCxnSpPr/>
        </xdr:nvCxnSpPr>
        <xdr:spPr>
          <a:xfrm flipH="1">
            <a:off x="4136571" y="215156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 name="Straight Arrow Connector 353"/>
          <xdr:cNvCxnSpPr/>
        </xdr:nvCxnSpPr>
        <xdr:spPr>
          <a:xfrm>
            <a:off x="4229100" y="20797157"/>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5" name="Straight Connector 354"/>
          <xdr:cNvCxnSpPr/>
        </xdr:nvCxnSpPr>
        <xdr:spPr>
          <a:xfrm rot="5400000" flipH="1">
            <a:off x="4827814"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 name="Straight Connector 355"/>
          <xdr:cNvCxnSpPr/>
        </xdr:nvCxnSpPr>
        <xdr:spPr>
          <a:xfrm rot="5400000" flipH="1">
            <a:off x="4288971"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 name="Straight Arrow Connector 356"/>
          <xdr:cNvCxnSpPr/>
        </xdr:nvCxnSpPr>
        <xdr:spPr>
          <a:xfrm>
            <a:off x="4403271" y="21689786"/>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8" name="TextBox 357"/>
          <xdr:cNvSpPr txBox="1"/>
        </xdr:nvSpPr>
        <xdr:spPr>
          <a:xfrm>
            <a:off x="4553357" y="21675127"/>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b</a:t>
            </a:r>
          </a:p>
        </xdr:txBody>
      </xdr:sp>
    </xdr:grpSp>
    <xdr:clientData/>
  </xdr:twoCellAnchor>
  <xdr:twoCellAnchor>
    <xdr:from>
      <xdr:col>3</xdr:col>
      <xdr:colOff>497264</xdr:colOff>
      <xdr:row>608</xdr:row>
      <xdr:rowOff>76200</xdr:rowOff>
    </xdr:from>
    <xdr:to>
      <xdr:col>6</xdr:col>
      <xdr:colOff>359224</xdr:colOff>
      <xdr:row>616</xdr:row>
      <xdr:rowOff>158075</xdr:rowOff>
    </xdr:to>
    <xdr:grpSp>
      <xdr:nvGrpSpPr>
        <xdr:cNvPr id="418" name="Group 417"/>
        <xdr:cNvGrpSpPr/>
      </xdr:nvGrpSpPr>
      <xdr:grpSpPr>
        <a:xfrm>
          <a:off x="2348924" y="107472480"/>
          <a:ext cx="1713620" cy="1483955"/>
          <a:chOff x="2295398" y="37288749"/>
          <a:chExt cx="1660094" cy="1382850"/>
        </a:xfrm>
      </xdr:grpSpPr>
      <xdr:sp macro="" textlink="">
        <xdr:nvSpPr>
          <xdr:cNvPr id="366" name="TextBox 365"/>
          <xdr:cNvSpPr txBox="1"/>
        </xdr:nvSpPr>
        <xdr:spPr>
          <a:xfrm>
            <a:off x="3575797" y="37972999"/>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370" name="Straight Arrow Connector 369"/>
          <xdr:cNvCxnSpPr/>
        </xdr:nvCxnSpPr>
        <xdr:spPr>
          <a:xfrm>
            <a:off x="3635186" y="37803829"/>
            <a:ext cx="0" cy="6132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2" name="Straight Connector 371"/>
          <xdr:cNvCxnSpPr/>
        </xdr:nvCxnSpPr>
        <xdr:spPr>
          <a:xfrm flipV="1">
            <a:off x="2709327" y="37440485"/>
            <a:ext cx="0" cy="1965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 name="Straight Arrow Connector 372"/>
          <xdr:cNvCxnSpPr/>
        </xdr:nvCxnSpPr>
        <xdr:spPr>
          <a:xfrm>
            <a:off x="2701136" y="37535475"/>
            <a:ext cx="769282"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4" name="TextBox 373"/>
          <xdr:cNvSpPr txBox="1"/>
        </xdr:nvSpPr>
        <xdr:spPr>
          <a:xfrm>
            <a:off x="3125331" y="37369886"/>
            <a:ext cx="217608" cy="171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376" name="Group 45"/>
          <xdr:cNvGrpSpPr/>
        </xdr:nvGrpSpPr>
        <xdr:grpSpPr>
          <a:xfrm>
            <a:off x="2375076" y="37288749"/>
            <a:ext cx="1580416" cy="1293681"/>
            <a:chOff x="4611126" y="11240620"/>
            <a:chExt cx="1497100" cy="1294246"/>
          </a:xfrm>
        </xdr:grpSpPr>
        <xdr:grpSp>
          <xdr:nvGrpSpPr>
            <xdr:cNvPr id="385" name="Group 49"/>
            <xdr:cNvGrpSpPr/>
          </xdr:nvGrpSpPr>
          <xdr:grpSpPr>
            <a:xfrm>
              <a:off x="4611126" y="11447857"/>
              <a:ext cx="1295769" cy="1087009"/>
              <a:chOff x="4611126" y="11447857"/>
              <a:chExt cx="1295769" cy="1087009"/>
            </a:xfrm>
          </xdr:grpSpPr>
          <xdr:cxnSp macro="">
            <xdr:nvCxnSpPr>
              <xdr:cNvPr id="388" name="Straight Connector 387"/>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9" name="Straight Connector 388"/>
              <xdr:cNvCxnSpPr/>
            </xdr:nvCxnSpPr>
            <xdr:spPr>
              <a:xfrm>
                <a:off x="4611126" y="11930061"/>
                <a:ext cx="1295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0" name="Rectangle 38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86" name="TextBox 385"/>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87" name="TextBox 386"/>
            <xdr:cNvSpPr txBox="1"/>
          </xdr:nvSpPr>
          <xdr:spPr>
            <a:xfrm>
              <a:off x="5855143"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5" name="Down Arrow Callout 4"/>
          <xdr:cNvSpPr/>
        </xdr:nvSpPr>
        <xdr:spPr>
          <a:xfrm>
            <a:off x="2704441" y="37667238"/>
            <a:ext cx="768342" cy="750160"/>
          </a:xfrm>
          <a:prstGeom prst="downArrowCallout">
            <a:avLst>
              <a:gd name="adj1" fmla="val 30072"/>
              <a:gd name="adj2" fmla="val 9601"/>
              <a:gd name="adj3" fmla="val 0"/>
              <a:gd name="adj4" fmla="val 1787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8" name="Straight Connector 7"/>
          <xdr:cNvCxnSpPr/>
        </xdr:nvCxnSpPr>
        <xdr:spPr>
          <a:xfrm>
            <a:off x="3214604" y="38416216"/>
            <a:ext cx="5884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3" name="Straight Connector 392"/>
          <xdr:cNvCxnSpPr/>
        </xdr:nvCxnSpPr>
        <xdr:spPr>
          <a:xfrm>
            <a:off x="3503075" y="37803829"/>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 name="Straight Connector 393"/>
          <xdr:cNvCxnSpPr/>
        </xdr:nvCxnSpPr>
        <xdr:spPr>
          <a:xfrm>
            <a:off x="3503075" y="37668422"/>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 name="Straight Arrow Connector 212"/>
          <xdr:cNvCxnSpPr/>
        </xdr:nvCxnSpPr>
        <xdr:spPr>
          <a:xfrm>
            <a:off x="3639810" y="37473143"/>
            <a:ext cx="0" cy="195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5" name="TextBox 394"/>
          <xdr:cNvSpPr txBox="1"/>
        </xdr:nvSpPr>
        <xdr:spPr>
          <a:xfrm>
            <a:off x="3532253" y="37620540"/>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396" name="Straight Connector 395"/>
          <xdr:cNvCxnSpPr/>
        </xdr:nvCxnSpPr>
        <xdr:spPr>
          <a:xfrm flipV="1">
            <a:off x="3471991" y="37462257"/>
            <a:ext cx="0" cy="17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1" name="TextBox 400"/>
          <xdr:cNvSpPr txBox="1"/>
        </xdr:nvSpPr>
        <xdr:spPr>
          <a:xfrm>
            <a:off x="2682504" y="38032206"/>
            <a:ext cx="217608" cy="172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02" name="Straight Arrow Connector 401"/>
          <xdr:cNvCxnSpPr/>
        </xdr:nvCxnSpPr>
        <xdr:spPr>
          <a:xfrm rot="16200000">
            <a:off x="2904029" y="38171620"/>
            <a:ext cx="0" cy="1966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3" name="Straight Arrow Connector 402"/>
          <xdr:cNvCxnSpPr/>
        </xdr:nvCxnSpPr>
        <xdr:spPr>
          <a:xfrm flipH="1">
            <a:off x="3154734" y="38269923"/>
            <a:ext cx="1796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6" name="Straight Connector 405"/>
          <xdr:cNvCxnSpPr/>
        </xdr:nvCxnSpPr>
        <xdr:spPr>
          <a:xfrm>
            <a:off x="2369632" y="37668422"/>
            <a:ext cx="3000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 name="Straight Arrow Connector 407"/>
          <xdr:cNvCxnSpPr/>
        </xdr:nvCxnSpPr>
        <xdr:spPr>
          <a:xfrm>
            <a:off x="2501745" y="37668422"/>
            <a:ext cx="0" cy="31521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0" name="TextBox 409"/>
          <xdr:cNvSpPr txBox="1"/>
        </xdr:nvSpPr>
        <xdr:spPr>
          <a:xfrm>
            <a:off x="2295398" y="37712404"/>
            <a:ext cx="218272" cy="248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13" name="Straight Connector 412"/>
          <xdr:cNvCxnSpPr/>
        </xdr:nvCxnSpPr>
        <xdr:spPr>
          <a:xfrm>
            <a:off x="3474992" y="37831912"/>
            <a:ext cx="0" cy="762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5" name="Straight Arrow Connector 414"/>
          <xdr:cNvCxnSpPr/>
        </xdr:nvCxnSpPr>
        <xdr:spPr>
          <a:xfrm>
            <a:off x="3081641" y="38519807"/>
            <a:ext cx="39757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7" name="TextBox 416"/>
          <xdr:cNvSpPr txBox="1"/>
        </xdr:nvSpPr>
        <xdr:spPr>
          <a:xfrm>
            <a:off x="3149633" y="38480434"/>
            <a:ext cx="218766" cy="191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grpSp>
    <xdr:clientData/>
  </xdr:twoCellAnchor>
  <xdr:twoCellAnchor>
    <xdr:from>
      <xdr:col>3</xdr:col>
      <xdr:colOff>431948</xdr:colOff>
      <xdr:row>663</xdr:row>
      <xdr:rowOff>76200</xdr:rowOff>
    </xdr:from>
    <xdr:to>
      <xdr:col>6</xdr:col>
      <xdr:colOff>511625</xdr:colOff>
      <xdr:row>672</xdr:row>
      <xdr:rowOff>109089</xdr:rowOff>
    </xdr:to>
    <xdr:grpSp>
      <xdr:nvGrpSpPr>
        <xdr:cNvPr id="472" name="Group 471"/>
        <xdr:cNvGrpSpPr/>
      </xdr:nvGrpSpPr>
      <xdr:grpSpPr>
        <a:xfrm>
          <a:off x="2283608" y="117180360"/>
          <a:ext cx="1931337" cy="1610229"/>
          <a:chOff x="2228091" y="46122771"/>
          <a:chExt cx="1875820" cy="1502461"/>
        </a:xfrm>
      </xdr:grpSpPr>
      <xdr:sp macro="" textlink="">
        <xdr:nvSpPr>
          <xdr:cNvPr id="422" name="TextBox 421"/>
          <xdr:cNvSpPr txBox="1"/>
        </xdr:nvSpPr>
        <xdr:spPr>
          <a:xfrm>
            <a:off x="3202813" y="46880492"/>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23" name="Straight Arrow Connector 422"/>
          <xdr:cNvCxnSpPr/>
        </xdr:nvCxnSpPr>
        <xdr:spPr>
          <a:xfrm>
            <a:off x="3249374" y="46639843"/>
            <a:ext cx="0" cy="70366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4" name="Straight Connector 423"/>
          <xdr:cNvCxnSpPr/>
        </xdr:nvCxnSpPr>
        <xdr:spPr>
          <a:xfrm flipV="1">
            <a:off x="2570236" y="46275345"/>
            <a:ext cx="0" cy="1970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 name="Straight Arrow Connector 424"/>
          <xdr:cNvCxnSpPr/>
        </xdr:nvCxnSpPr>
        <xdr:spPr>
          <a:xfrm>
            <a:off x="2569029" y="46369550"/>
            <a:ext cx="10287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6" name="TextBox 425"/>
          <xdr:cNvSpPr txBox="1"/>
        </xdr:nvSpPr>
        <xdr:spPr>
          <a:xfrm>
            <a:off x="3121297" y="46203237"/>
            <a:ext cx="218170" cy="174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427" name="Group 45"/>
          <xdr:cNvGrpSpPr/>
        </xdr:nvGrpSpPr>
        <xdr:grpSpPr>
          <a:xfrm>
            <a:off x="2313417" y="46122771"/>
            <a:ext cx="1790494" cy="1377043"/>
            <a:chOff x="4554332" y="11240620"/>
            <a:chExt cx="1698465" cy="1294246"/>
          </a:xfrm>
        </xdr:grpSpPr>
        <xdr:grpSp>
          <xdr:nvGrpSpPr>
            <xdr:cNvPr id="444" name="Group 49"/>
            <xdr:cNvGrpSpPr/>
          </xdr:nvGrpSpPr>
          <xdr:grpSpPr>
            <a:xfrm>
              <a:off x="4554332" y="11447857"/>
              <a:ext cx="1399009" cy="1087009"/>
              <a:chOff x="4554332" y="11447857"/>
              <a:chExt cx="1399009" cy="1087009"/>
            </a:xfrm>
          </xdr:grpSpPr>
          <xdr:cxnSp macro="">
            <xdr:nvCxnSpPr>
              <xdr:cNvPr id="447" name="Straight Connector 446"/>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8" name="Straight Connector 447"/>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9" name="Rectangle 448"/>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45" name="TextBox 444"/>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446" name="TextBox 445"/>
            <xdr:cNvSpPr txBox="1"/>
          </xdr:nvSpPr>
          <xdr:spPr>
            <a:xfrm>
              <a:off x="5999714"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429" name="Straight Connector 428"/>
          <xdr:cNvCxnSpPr/>
        </xdr:nvCxnSpPr>
        <xdr:spPr>
          <a:xfrm>
            <a:off x="3210801" y="47337210"/>
            <a:ext cx="2236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 name="Straight Connector 429"/>
          <xdr:cNvCxnSpPr/>
        </xdr:nvCxnSpPr>
        <xdr:spPr>
          <a:xfrm>
            <a:off x="3500017" y="46639872"/>
            <a:ext cx="2987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 name="Straight Connector 430"/>
          <xdr:cNvCxnSpPr/>
        </xdr:nvCxnSpPr>
        <xdr:spPr>
          <a:xfrm>
            <a:off x="3641271" y="46530706"/>
            <a:ext cx="1574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 name="Straight Arrow Connector 431"/>
          <xdr:cNvCxnSpPr/>
        </xdr:nvCxnSpPr>
        <xdr:spPr>
          <a:xfrm>
            <a:off x="3716655" y="463349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3" name="TextBox 432"/>
          <xdr:cNvSpPr txBox="1"/>
        </xdr:nvSpPr>
        <xdr:spPr>
          <a:xfrm>
            <a:off x="3610911" y="46477777"/>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434" name="Straight Connector 433"/>
          <xdr:cNvCxnSpPr/>
        </xdr:nvCxnSpPr>
        <xdr:spPr>
          <a:xfrm flipV="1">
            <a:off x="3599485" y="46296937"/>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5" name="TextBox 434"/>
          <xdr:cNvSpPr txBox="1"/>
        </xdr:nvSpPr>
        <xdr:spPr>
          <a:xfrm>
            <a:off x="3642805"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36" name="Straight Arrow Connector 435"/>
          <xdr:cNvCxnSpPr/>
        </xdr:nvCxnSpPr>
        <xdr:spPr>
          <a:xfrm rot="16200000">
            <a:off x="3395770"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7" name="Straight Arrow Connector 436"/>
          <xdr:cNvCxnSpPr/>
        </xdr:nvCxnSpPr>
        <xdr:spPr>
          <a:xfrm flipH="1">
            <a:off x="3591646"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8" name="Straight Connector 437"/>
          <xdr:cNvCxnSpPr/>
        </xdr:nvCxnSpPr>
        <xdr:spPr>
          <a:xfrm>
            <a:off x="2367833" y="46530706"/>
            <a:ext cx="1522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Straight Arrow Connector 438"/>
          <xdr:cNvCxnSpPr/>
        </xdr:nvCxnSpPr>
        <xdr:spPr>
          <a:xfrm>
            <a:off x="2432877" y="46525543"/>
            <a:ext cx="0" cy="337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0" name="TextBox 439"/>
          <xdr:cNvSpPr txBox="1"/>
        </xdr:nvSpPr>
        <xdr:spPr>
          <a:xfrm>
            <a:off x="2228091" y="46579971"/>
            <a:ext cx="216742" cy="21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42" name="Straight Arrow Connector 441"/>
          <xdr:cNvCxnSpPr/>
        </xdr:nvCxnSpPr>
        <xdr:spPr>
          <a:xfrm>
            <a:off x="3088380" y="47458366"/>
            <a:ext cx="50934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3" name="TextBox 442"/>
          <xdr:cNvSpPr txBox="1"/>
        </xdr:nvSpPr>
        <xdr:spPr>
          <a:xfrm>
            <a:off x="3243634" y="47433554"/>
            <a:ext cx="219331" cy="191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453" name="Freeform 452"/>
          <xdr:cNvSpPr/>
        </xdr:nvSpPr>
        <xdr:spPr>
          <a:xfrm rot="10800000">
            <a:off x="2569996" y="46532883"/>
            <a:ext cx="1029616" cy="804672"/>
          </a:xfrm>
          <a:custGeom>
            <a:avLst/>
            <a:gdLst>
              <a:gd name="connsiteX0" fmla="*/ 0 w 3040673"/>
              <a:gd name="connsiteY0" fmla="*/ 131884 h 1267557"/>
              <a:gd name="connsiteX1" fmla="*/ 0 w 3040673"/>
              <a:gd name="connsiteY1" fmla="*/ 1267557 h 1267557"/>
              <a:gd name="connsiteX2" fmla="*/ 3033346 w 3040673"/>
              <a:gd name="connsiteY2" fmla="*/ 1260230 h 1267557"/>
              <a:gd name="connsiteX3" fmla="*/ 3040673 w 3040673"/>
              <a:gd name="connsiteY3" fmla="*/ 0 h 1267557"/>
              <a:gd name="connsiteX4" fmla="*/ 2769576 w 3040673"/>
              <a:gd name="connsiteY4" fmla="*/ 7327 h 1267557"/>
              <a:gd name="connsiteX5" fmla="*/ 2740269 w 3040673"/>
              <a:gd name="connsiteY5" fmla="*/ 1128346 h 1267557"/>
              <a:gd name="connsiteX6" fmla="*/ 622788 w 3040673"/>
              <a:gd name="connsiteY6" fmla="*/ 1106365 h 1267557"/>
              <a:gd name="connsiteX7" fmla="*/ 615461 w 3040673"/>
              <a:gd name="connsiteY7" fmla="*/ 131884 h 1267557"/>
              <a:gd name="connsiteX8" fmla="*/ 0 w 3040673"/>
              <a:gd name="connsiteY8" fmla="*/ 131884 h 1267557"/>
              <a:gd name="connsiteX0" fmla="*/ 0 w 3084724"/>
              <a:gd name="connsiteY0" fmla="*/ 131884 h 1267557"/>
              <a:gd name="connsiteX1" fmla="*/ 0 w 3084724"/>
              <a:gd name="connsiteY1" fmla="*/ 1267557 h 1267557"/>
              <a:gd name="connsiteX2" fmla="*/ 3084636 w 3084724"/>
              <a:gd name="connsiteY2" fmla="*/ 1267557 h 1267557"/>
              <a:gd name="connsiteX3" fmla="*/ 3040673 w 3084724"/>
              <a:gd name="connsiteY3" fmla="*/ 0 h 1267557"/>
              <a:gd name="connsiteX4" fmla="*/ 2769576 w 3084724"/>
              <a:gd name="connsiteY4" fmla="*/ 7327 h 1267557"/>
              <a:gd name="connsiteX5" fmla="*/ 2740269 w 3084724"/>
              <a:gd name="connsiteY5" fmla="*/ 1128346 h 1267557"/>
              <a:gd name="connsiteX6" fmla="*/ 622788 w 3084724"/>
              <a:gd name="connsiteY6" fmla="*/ 1106365 h 1267557"/>
              <a:gd name="connsiteX7" fmla="*/ 615461 w 3084724"/>
              <a:gd name="connsiteY7" fmla="*/ 131884 h 1267557"/>
              <a:gd name="connsiteX8" fmla="*/ 0 w 3084724"/>
              <a:gd name="connsiteY8" fmla="*/ 131884 h 1267557"/>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769576 w 3085340"/>
              <a:gd name="connsiteY4" fmla="*/ 29308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483828 w 3085340"/>
              <a:gd name="connsiteY5" fmla="*/ 112834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9"/>
              <a:gd name="connsiteX1" fmla="*/ 80597 w 3085340"/>
              <a:gd name="connsiteY1" fmla="*/ 1289539 h 1289539"/>
              <a:gd name="connsiteX2" fmla="*/ 3084636 w 3085340"/>
              <a:gd name="connsiteY2" fmla="*/ 1289538 h 1289539"/>
              <a:gd name="connsiteX3" fmla="*/ 3084636 w 3085340"/>
              <a:gd name="connsiteY3" fmla="*/ 0 h 1289539"/>
              <a:gd name="connsiteX4" fmla="*/ 2483828 w 3085340"/>
              <a:gd name="connsiteY4" fmla="*/ 1 h 1289539"/>
              <a:gd name="connsiteX5" fmla="*/ 2483828 w 3085340"/>
              <a:gd name="connsiteY5" fmla="*/ 1128347 h 1289539"/>
              <a:gd name="connsiteX6" fmla="*/ 622788 w 3085340"/>
              <a:gd name="connsiteY6" fmla="*/ 1128346 h 1289539"/>
              <a:gd name="connsiteX7" fmla="*/ 615461 w 3085340"/>
              <a:gd name="connsiteY7" fmla="*/ 153865 h 1289539"/>
              <a:gd name="connsiteX8" fmla="*/ 0 w 3085340"/>
              <a:gd name="connsiteY8" fmla="*/ 153865 h 1289539"/>
              <a:gd name="connsiteX0" fmla="*/ 0 w 3004743"/>
              <a:gd name="connsiteY0" fmla="*/ 161192 h 1289539"/>
              <a:gd name="connsiteX1" fmla="*/ 0 w 3004743"/>
              <a:gd name="connsiteY1" fmla="*/ 1289539 h 1289539"/>
              <a:gd name="connsiteX2" fmla="*/ 3004039 w 3004743"/>
              <a:gd name="connsiteY2" fmla="*/ 1289538 h 1289539"/>
              <a:gd name="connsiteX3" fmla="*/ 3004039 w 3004743"/>
              <a:gd name="connsiteY3" fmla="*/ 0 h 1289539"/>
              <a:gd name="connsiteX4" fmla="*/ 2403231 w 3004743"/>
              <a:gd name="connsiteY4" fmla="*/ 1 h 1289539"/>
              <a:gd name="connsiteX5" fmla="*/ 2403231 w 3004743"/>
              <a:gd name="connsiteY5" fmla="*/ 1128347 h 1289539"/>
              <a:gd name="connsiteX6" fmla="*/ 542191 w 3004743"/>
              <a:gd name="connsiteY6" fmla="*/ 1128346 h 1289539"/>
              <a:gd name="connsiteX7" fmla="*/ 534864 w 3004743"/>
              <a:gd name="connsiteY7" fmla="*/ 153865 h 1289539"/>
              <a:gd name="connsiteX8" fmla="*/ 0 w 3004743"/>
              <a:gd name="connsiteY8" fmla="*/ 161192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534865 w 3004744"/>
              <a:gd name="connsiteY7" fmla="*/ 153865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4205658"/>
              <a:gd name="connsiteY0" fmla="*/ 0 h 1289539"/>
              <a:gd name="connsiteX1" fmla="*/ 1 w 4205658"/>
              <a:gd name="connsiteY1" fmla="*/ 1289539 h 1289539"/>
              <a:gd name="connsiteX2" fmla="*/ 4205655 w 4205658"/>
              <a:gd name="connsiteY2" fmla="*/ 1289538 h 1289539"/>
              <a:gd name="connsiteX3" fmla="*/ 3004040 w 4205658"/>
              <a:gd name="connsiteY3" fmla="*/ 0 h 1289539"/>
              <a:gd name="connsiteX4" fmla="*/ 2403232 w 4205658"/>
              <a:gd name="connsiteY4" fmla="*/ 1 h 1289539"/>
              <a:gd name="connsiteX5" fmla="*/ 2403232 w 4205658"/>
              <a:gd name="connsiteY5" fmla="*/ 1128347 h 1289539"/>
              <a:gd name="connsiteX6" fmla="*/ 600809 w 4205658"/>
              <a:gd name="connsiteY6" fmla="*/ 1128346 h 1289539"/>
              <a:gd name="connsiteX7" fmla="*/ 600809 w 4205658"/>
              <a:gd name="connsiteY7" fmla="*/ 0 h 1289539"/>
              <a:gd name="connsiteX8" fmla="*/ 0 w 4205658"/>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2403232 w 4206359"/>
              <a:gd name="connsiteY4" fmla="*/ 1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3604846 w 4206359"/>
              <a:gd name="connsiteY5" fmla="*/ 1128346 h 1289539"/>
              <a:gd name="connsiteX6" fmla="*/ 600809 w 4206359"/>
              <a:gd name="connsiteY6" fmla="*/ 1128346 h 1289539"/>
              <a:gd name="connsiteX7" fmla="*/ 600809 w 4206359"/>
              <a:gd name="connsiteY7" fmla="*/ 0 h 1289539"/>
              <a:gd name="connsiteX8" fmla="*/ 0 w 4206359"/>
              <a:gd name="connsiteY8" fmla="*/ 0 h 1289539"/>
              <a:gd name="connsiteX0" fmla="*/ 0 w 5407272"/>
              <a:gd name="connsiteY0" fmla="*/ 0 h 1289539"/>
              <a:gd name="connsiteX1" fmla="*/ 1 w 5407272"/>
              <a:gd name="connsiteY1" fmla="*/ 1289539 h 1289539"/>
              <a:gd name="connsiteX2" fmla="*/ 5407269 w 5407272"/>
              <a:gd name="connsiteY2" fmla="*/ 1289538 h 1289539"/>
              <a:gd name="connsiteX3" fmla="*/ 4205655 w 5407272"/>
              <a:gd name="connsiteY3" fmla="*/ 0 h 1289539"/>
              <a:gd name="connsiteX4" fmla="*/ 3604846 w 5407272"/>
              <a:gd name="connsiteY4" fmla="*/ 0 h 1289539"/>
              <a:gd name="connsiteX5" fmla="*/ 3604846 w 5407272"/>
              <a:gd name="connsiteY5" fmla="*/ 1128346 h 1289539"/>
              <a:gd name="connsiteX6" fmla="*/ 600809 w 5407272"/>
              <a:gd name="connsiteY6" fmla="*/ 1128346 h 1289539"/>
              <a:gd name="connsiteX7" fmla="*/ 600809 w 5407272"/>
              <a:gd name="connsiteY7" fmla="*/ 0 h 1289539"/>
              <a:gd name="connsiteX8" fmla="*/ 0 w 5407272"/>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3604846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4806461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407973" h="1289539">
                <a:moveTo>
                  <a:pt x="0" y="0"/>
                </a:moveTo>
                <a:cubicBezTo>
                  <a:pt x="0" y="429846"/>
                  <a:pt x="1" y="859693"/>
                  <a:pt x="1" y="1289539"/>
                </a:cubicBezTo>
                <a:lnTo>
                  <a:pt x="5407269" y="1289538"/>
                </a:lnTo>
                <a:cubicBezTo>
                  <a:pt x="5409711" y="869461"/>
                  <a:pt x="5404827" y="420077"/>
                  <a:pt x="5407269" y="0"/>
                </a:cubicBezTo>
                <a:lnTo>
                  <a:pt x="4806461" y="0"/>
                </a:lnTo>
                <a:lnTo>
                  <a:pt x="4806461" y="1128346"/>
                </a:lnTo>
                <a:lnTo>
                  <a:pt x="600809" y="1128346"/>
                </a:lnTo>
                <a:cubicBezTo>
                  <a:pt x="598367" y="803519"/>
                  <a:pt x="603251" y="324827"/>
                  <a:pt x="600809" y="0"/>
                </a:cubicBez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456" name="TextBox 455"/>
          <xdr:cNvSpPr txBox="1"/>
        </xdr:nvSpPr>
        <xdr:spPr>
          <a:xfrm>
            <a:off x="2722964"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57" name="Straight Arrow Connector 456"/>
          <xdr:cNvCxnSpPr/>
        </xdr:nvCxnSpPr>
        <xdr:spPr>
          <a:xfrm rot="16200000">
            <a:off x="2475929"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8" name="Straight Arrow Connector 457"/>
          <xdr:cNvCxnSpPr/>
        </xdr:nvCxnSpPr>
        <xdr:spPr>
          <a:xfrm flipH="1">
            <a:off x="2671805"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4" name="Straight Arrow Connector 463"/>
          <xdr:cNvCxnSpPr/>
        </xdr:nvCxnSpPr>
        <xdr:spPr>
          <a:xfrm flipV="1">
            <a:off x="3716655" y="466397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8" name="Straight Connector 467"/>
          <xdr:cNvCxnSpPr/>
        </xdr:nvCxnSpPr>
        <xdr:spPr>
          <a:xfrm flipV="1">
            <a:off x="3599485" y="47374622"/>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313815</xdr:colOff>
      <xdr:row>718</xdr:row>
      <xdr:rowOff>115312</xdr:rowOff>
    </xdr:from>
    <xdr:to>
      <xdr:col>7</xdr:col>
      <xdr:colOff>75204</xdr:colOff>
      <xdr:row>730</xdr:row>
      <xdr:rowOff>121513</xdr:rowOff>
    </xdr:to>
    <xdr:grpSp>
      <xdr:nvGrpSpPr>
        <xdr:cNvPr id="526" name="Group 525"/>
        <xdr:cNvGrpSpPr/>
      </xdr:nvGrpSpPr>
      <xdr:grpSpPr>
        <a:xfrm>
          <a:off x="2782695" y="126927352"/>
          <a:ext cx="1613049" cy="2109321"/>
          <a:chOff x="2718878" y="53556515"/>
          <a:chExt cx="1565185" cy="1935014"/>
        </a:xfrm>
      </xdr:grpSpPr>
      <xdr:sp macro="" textlink="">
        <xdr:nvSpPr>
          <xdr:cNvPr id="476" name="TextBox 475"/>
          <xdr:cNvSpPr txBox="1"/>
        </xdr:nvSpPr>
        <xdr:spPr>
          <a:xfrm>
            <a:off x="3906916" y="54350055"/>
            <a:ext cx="215922"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77" name="Straight Arrow Connector 476"/>
          <xdr:cNvCxnSpPr/>
        </xdr:nvCxnSpPr>
        <xdr:spPr>
          <a:xfrm>
            <a:off x="3959254" y="53997803"/>
            <a:ext cx="0" cy="1157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81" name="Group 45"/>
          <xdr:cNvGrpSpPr/>
        </xdr:nvGrpSpPr>
        <xdr:grpSpPr>
          <a:xfrm>
            <a:off x="2718878" y="53556515"/>
            <a:ext cx="1565185" cy="1867082"/>
            <a:chOff x="4554332" y="11352894"/>
            <a:chExt cx="1500807" cy="1017809"/>
          </a:xfrm>
        </xdr:grpSpPr>
        <xdr:grpSp>
          <xdr:nvGrpSpPr>
            <xdr:cNvPr id="502" name="Group 49"/>
            <xdr:cNvGrpSpPr/>
          </xdr:nvGrpSpPr>
          <xdr:grpSpPr>
            <a:xfrm>
              <a:off x="4554332" y="11447857"/>
              <a:ext cx="1399009" cy="922846"/>
              <a:chOff x="4554332" y="11447857"/>
              <a:chExt cx="1399009" cy="922846"/>
            </a:xfrm>
          </xdr:grpSpPr>
          <xdr:cxnSp macro="">
            <xdr:nvCxnSpPr>
              <xdr:cNvPr id="505" name="Straight Connector 504"/>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6" name="Straight Connector 505"/>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7" name="Rectangle 506"/>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03" name="TextBox 502"/>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04" name="TextBox 50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483" name="Straight Connector 482"/>
          <xdr:cNvCxnSpPr/>
        </xdr:nvCxnSpPr>
        <xdr:spPr>
          <a:xfrm>
            <a:off x="3881528" y="53991880"/>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 name="Straight Connector 483"/>
          <xdr:cNvCxnSpPr/>
        </xdr:nvCxnSpPr>
        <xdr:spPr>
          <a:xfrm>
            <a:off x="3881437" y="53939660"/>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5" name="Straight Arrow Connector 484"/>
          <xdr:cNvCxnSpPr/>
        </xdr:nvCxnSpPr>
        <xdr:spPr>
          <a:xfrm>
            <a:off x="4098899" y="53746045"/>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6" name="TextBox 485"/>
          <xdr:cNvSpPr txBox="1"/>
        </xdr:nvSpPr>
        <xdr:spPr>
          <a:xfrm>
            <a:off x="4047133" y="53635950"/>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10" name="Group 509"/>
          <xdr:cNvGrpSpPr/>
        </xdr:nvGrpSpPr>
        <xdr:grpSpPr>
          <a:xfrm>
            <a:off x="3098750" y="53640519"/>
            <a:ext cx="749040" cy="268007"/>
            <a:chOff x="11083443" y="55237155"/>
            <a:chExt cx="1026556" cy="272925"/>
          </a:xfrm>
        </xdr:grpSpPr>
        <xdr:cxnSp macro="">
          <xdr:nvCxnSpPr>
            <xdr:cNvPr id="478" name="Straight Connector 477"/>
            <xdr:cNvCxnSpPr/>
          </xdr:nvCxnSpPr>
          <xdr:spPr>
            <a:xfrm flipV="1">
              <a:off x="11084645" y="55310285"/>
              <a:ext cx="0" cy="199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9" name="Straight Arrow Connector 478"/>
            <xdr:cNvCxnSpPr/>
          </xdr:nvCxnSpPr>
          <xdr:spPr>
            <a:xfrm>
              <a:off x="11083443" y="55405825"/>
              <a:ext cx="102480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0" name="TextBox 479"/>
            <xdr:cNvSpPr txBox="1"/>
          </xdr:nvSpPr>
          <xdr:spPr>
            <a:xfrm>
              <a:off x="11633621" y="55237155"/>
              <a:ext cx="217344"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487" name="Straight Connector 486"/>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91" name="Straight Connector 490"/>
          <xdr:cNvCxnSpPr/>
        </xdr:nvCxnSpPr>
        <xdr:spPr>
          <a:xfrm>
            <a:off x="2911257" y="53939662"/>
            <a:ext cx="1516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2" name="Straight Arrow Connector 491"/>
          <xdr:cNvCxnSpPr/>
        </xdr:nvCxnSpPr>
        <xdr:spPr>
          <a:xfrm>
            <a:off x="2964148" y="53934425"/>
            <a:ext cx="0" cy="6795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3" name="TextBox 492"/>
          <xdr:cNvSpPr txBox="1"/>
        </xdr:nvSpPr>
        <xdr:spPr>
          <a:xfrm>
            <a:off x="2770489" y="54120594"/>
            <a:ext cx="217476" cy="21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sp macro="" textlink="">
        <xdr:nvSpPr>
          <xdr:cNvPr id="497" name="TextBox 496"/>
          <xdr:cNvSpPr txBox="1"/>
        </xdr:nvSpPr>
        <xdr:spPr>
          <a:xfrm>
            <a:off x="3576159" y="54189467"/>
            <a:ext cx="217344"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98" name="Straight Arrow Connector 497"/>
          <xdr:cNvCxnSpPr/>
        </xdr:nvCxnSpPr>
        <xdr:spPr>
          <a:xfrm rot="16200000">
            <a:off x="3328506" y="54262383"/>
            <a:ext cx="0" cy="194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9" name="Straight Arrow Connector 498"/>
          <xdr:cNvCxnSpPr/>
        </xdr:nvCxnSpPr>
        <xdr:spPr>
          <a:xfrm flipH="1">
            <a:off x="3523641" y="54359525"/>
            <a:ext cx="1809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0" name="Straight Arrow Connector 499"/>
          <xdr:cNvCxnSpPr/>
        </xdr:nvCxnSpPr>
        <xdr:spPr>
          <a:xfrm flipV="1">
            <a:off x="4098899" y="53991753"/>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9" name="Freeform 508"/>
          <xdr:cNvSpPr/>
        </xdr:nvSpPr>
        <xdr:spPr>
          <a:xfrm>
            <a:off x="3108295" y="53939972"/>
            <a:ext cx="733787" cy="1257663"/>
          </a:xfrm>
          <a:custGeom>
            <a:avLst/>
            <a:gdLst>
              <a:gd name="connsiteX0" fmla="*/ 33131 w 5425109"/>
              <a:gd name="connsiteY0" fmla="*/ 0 h 4000500"/>
              <a:gd name="connsiteX1" fmla="*/ 5425109 w 5425109"/>
              <a:gd name="connsiteY1" fmla="*/ 8283 h 4000500"/>
              <a:gd name="connsiteX2" fmla="*/ 5408544 w 5425109"/>
              <a:gd name="connsiteY2" fmla="*/ 198783 h 4000500"/>
              <a:gd name="connsiteX3" fmla="*/ 2998305 w 5425109"/>
              <a:gd name="connsiteY3" fmla="*/ 140805 h 4000500"/>
              <a:gd name="connsiteX4" fmla="*/ 3006587 w 5425109"/>
              <a:gd name="connsiteY4" fmla="*/ 3818283 h 4000500"/>
              <a:gd name="connsiteX5" fmla="*/ 5358848 w 5425109"/>
              <a:gd name="connsiteY5" fmla="*/ 3801718 h 4000500"/>
              <a:gd name="connsiteX6" fmla="*/ 5416826 w 5425109"/>
              <a:gd name="connsiteY6" fmla="*/ 4000500 h 4000500"/>
              <a:gd name="connsiteX7" fmla="*/ 33131 w 5425109"/>
              <a:gd name="connsiteY7" fmla="*/ 3967370 h 4000500"/>
              <a:gd name="connsiteX8" fmla="*/ 66261 w 5425109"/>
              <a:gd name="connsiteY8" fmla="*/ 3818283 h 4000500"/>
              <a:gd name="connsiteX9" fmla="*/ 2426805 w 5425109"/>
              <a:gd name="connsiteY9" fmla="*/ 3826566 h 4000500"/>
              <a:gd name="connsiteX10" fmla="*/ 2443370 w 5425109"/>
              <a:gd name="connsiteY10" fmla="*/ 165653 h 4000500"/>
              <a:gd name="connsiteX11" fmla="*/ 0 w 5425109"/>
              <a:gd name="connsiteY11" fmla="*/ 165653 h 4000500"/>
              <a:gd name="connsiteX12" fmla="*/ 33131 w 5425109"/>
              <a:gd name="connsiteY12" fmla="*/ 0 h 4000500"/>
              <a:gd name="connsiteX0" fmla="*/ 33131 w 5416826"/>
              <a:gd name="connsiteY0" fmla="*/ 0 h 4000500"/>
              <a:gd name="connsiteX1" fmla="*/ 5400261 w 5416826"/>
              <a:gd name="connsiteY1" fmla="*/ 8283 h 4000500"/>
              <a:gd name="connsiteX2" fmla="*/ 5408544 w 5416826"/>
              <a:gd name="connsiteY2" fmla="*/ 198783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18522 w 5416826"/>
              <a:gd name="connsiteY10" fmla="*/ 173935 h 4000500"/>
              <a:gd name="connsiteX11" fmla="*/ 0 w 5416826"/>
              <a:gd name="connsiteY11" fmla="*/ 165653 h 4000500"/>
              <a:gd name="connsiteX12" fmla="*/ 33131 w 5416826"/>
              <a:gd name="connsiteY12" fmla="*/ 0 h 4000500"/>
              <a:gd name="connsiteX0" fmla="*/ 0 w 5383695"/>
              <a:gd name="connsiteY0" fmla="*/ 0 h 4000500"/>
              <a:gd name="connsiteX1" fmla="*/ 5367130 w 5383695"/>
              <a:gd name="connsiteY1" fmla="*/ 8283 h 4000500"/>
              <a:gd name="connsiteX2" fmla="*/ 5367130 w 5383695"/>
              <a:gd name="connsiteY2" fmla="*/ 173935 h 4000500"/>
              <a:gd name="connsiteX3" fmla="*/ 2981739 w 5383695"/>
              <a:gd name="connsiteY3" fmla="*/ 173935 h 4000500"/>
              <a:gd name="connsiteX4" fmla="*/ 2973456 w 5383695"/>
              <a:gd name="connsiteY4" fmla="*/ 3818283 h 4000500"/>
              <a:gd name="connsiteX5" fmla="*/ 5325717 w 5383695"/>
              <a:gd name="connsiteY5" fmla="*/ 3801718 h 4000500"/>
              <a:gd name="connsiteX6" fmla="*/ 5383695 w 5383695"/>
              <a:gd name="connsiteY6" fmla="*/ 4000500 h 4000500"/>
              <a:gd name="connsiteX7" fmla="*/ 0 w 5383695"/>
              <a:gd name="connsiteY7" fmla="*/ 3967370 h 4000500"/>
              <a:gd name="connsiteX8" fmla="*/ 33130 w 5383695"/>
              <a:gd name="connsiteY8" fmla="*/ 3818283 h 4000500"/>
              <a:gd name="connsiteX9" fmla="*/ 2393674 w 5383695"/>
              <a:gd name="connsiteY9" fmla="*/ 3826566 h 4000500"/>
              <a:gd name="connsiteX10" fmla="*/ 2385391 w 5383695"/>
              <a:gd name="connsiteY10" fmla="*/ 173935 h 4000500"/>
              <a:gd name="connsiteX11" fmla="*/ 0 w 5383695"/>
              <a:gd name="connsiteY11" fmla="*/ 173935 h 4000500"/>
              <a:gd name="connsiteX12" fmla="*/ 0 w 5383695"/>
              <a:gd name="connsiteY12" fmla="*/ 0 h 4000500"/>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25717 w 5383695"/>
              <a:gd name="connsiteY5" fmla="*/ 3793435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67130 w 5383695"/>
              <a:gd name="connsiteY5" fmla="*/ 3810000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73456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85391 w 5367130"/>
              <a:gd name="connsiteY9" fmla="*/ 3810000 h 3975652"/>
              <a:gd name="connsiteX10" fmla="*/ 2385391 w 5367130"/>
              <a:gd name="connsiteY10" fmla="*/ 165652 h 3975652"/>
              <a:gd name="connsiteX11" fmla="*/ 0 w 5367130"/>
              <a:gd name="connsiteY11" fmla="*/ 165652 h 3975652"/>
              <a:gd name="connsiteX12" fmla="*/ 0 w 5367130"/>
              <a:gd name="connsiteY12" fmla="*/ 0 h 39756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367130" h="3975652">
                <a:moveTo>
                  <a:pt x="0" y="0"/>
                </a:moveTo>
                <a:lnTo>
                  <a:pt x="5367130" y="0"/>
                </a:lnTo>
                <a:lnTo>
                  <a:pt x="5367130" y="165652"/>
                </a:lnTo>
                <a:lnTo>
                  <a:pt x="2981739" y="165652"/>
                </a:lnTo>
                <a:cubicBezTo>
                  <a:pt x="2984500" y="1391478"/>
                  <a:pt x="2978978" y="2584174"/>
                  <a:pt x="2981739" y="3810000"/>
                </a:cubicBezTo>
                <a:lnTo>
                  <a:pt x="5367130" y="3810000"/>
                </a:lnTo>
                <a:lnTo>
                  <a:pt x="5367130" y="3975652"/>
                </a:lnTo>
                <a:lnTo>
                  <a:pt x="0" y="3975652"/>
                </a:lnTo>
                <a:lnTo>
                  <a:pt x="0" y="3810000"/>
                </a:lnTo>
                <a:lnTo>
                  <a:pt x="2385391" y="3810000"/>
                </a:lnTo>
                <a:cubicBezTo>
                  <a:pt x="2390913" y="2589696"/>
                  <a:pt x="2379869" y="1385956"/>
                  <a:pt x="2385391" y="165652"/>
                </a:cubicBezTo>
                <a:lnTo>
                  <a:pt x="0" y="165652"/>
                </a:ln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3" name="Straight Connector 512"/>
          <xdr:cNvCxnSpPr/>
        </xdr:nvCxnSpPr>
        <xdr:spPr>
          <a:xfrm>
            <a:off x="3881528" y="55194411"/>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4" name="Straight Connector 513"/>
          <xdr:cNvCxnSpPr/>
        </xdr:nvCxnSpPr>
        <xdr:spPr>
          <a:xfrm>
            <a:off x="3881437" y="55142191"/>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 name="Straight Arrow Connector 514"/>
          <xdr:cNvCxnSpPr/>
        </xdr:nvCxnSpPr>
        <xdr:spPr>
          <a:xfrm>
            <a:off x="4098899" y="54948576"/>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6" name="TextBox 515"/>
          <xdr:cNvSpPr txBox="1"/>
        </xdr:nvSpPr>
        <xdr:spPr>
          <a:xfrm>
            <a:off x="4047133" y="54838481"/>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517" name="Straight Arrow Connector 516"/>
          <xdr:cNvCxnSpPr/>
        </xdr:nvCxnSpPr>
        <xdr:spPr>
          <a:xfrm flipV="1">
            <a:off x="4098899" y="55194284"/>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8" name="Straight Arrow Connector 517"/>
          <xdr:cNvCxnSpPr/>
        </xdr:nvCxnSpPr>
        <xdr:spPr>
          <a:xfrm>
            <a:off x="3469895" y="55339122"/>
            <a:ext cx="37582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9" name="TextBox 518"/>
          <xdr:cNvSpPr txBox="1"/>
        </xdr:nvSpPr>
        <xdr:spPr>
          <a:xfrm>
            <a:off x="3536818" y="55306969"/>
            <a:ext cx="218501" cy="18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20" name="Straight Connector 519"/>
          <xdr:cNvCxnSpPr/>
        </xdr:nvCxnSpPr>
        <xdr:spPr>
          <a:xfrm flipV="1">
            <a:off x="3845248" y="55229342"/>
            <a:ext cx="0" cy="1729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168005</xdr:colOff>
      <xdr:row>771</xdr:row>
      <xdr:rowOff>157070</xdr:rowOff>
    </xdr:from>
    <xdr:to>
      <xdr:col>7</xdr:col>
      <xdr:colOff>179981</xdr:colOff>
      <xdr:row>780</xdr:row>
      <xdr:rowOff>123824</xdr:rowOff>
    </xdr:to>
    <xdr:grpSp>
      <xdr:nvGrpSpPr>
        <xdr:cNvPr id="21" name="Group 20"/>
        <xdr:cNvGrpSpPr/>
      </xdr:nvGrpSpPr>
      <xdr:grpSpPr>
        <a:xfrm>
          <a:off x="2636885" y="136326470"/>
          <a:ext cx="1863636" cy="1544094"/>
          <a:chOff x="2568305" y="62593445"/>
          <a:chExt cx="1812201" cy="1424079"/>
        </a:xfrm>
      </xdr:grpSpPr>
      <xdr:cxnSp macro="">
        <xdr:nvCxnSpPr>
          <xdr:cNvPr id="399" name="Straight Arrow Connector 398"/>
          <xdr:cNvCxnSpPr/>
        </xdr:nvCxnSpPr>
        <xdr:spPr>
          <a:xfrm flipH="1">
            <a:off x="2576146" y="62796399"/>
            <a:ext cx="644039" cy="63424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00" name="Group 45"/>
          <xdr:cNvGrpSpPr/>
        </xdr:nvGrpSpPr>
        <xdr:grpSpPr>
          <a:xfrm>
            <a:off x="2568305" y="62593445"/>
            <a:ext cx="1812201" cy="1292188"/>
            <a:chOff x="4554332" y="11516314"/>
            <a:chExt cx="1741136" cy="699763"/>
          </a:xfrm>
        </xdr:grpSpPr>
        <xdr:grpSp>
          <xdr:nvGrpSpPr>
            <xdr:cNvPr id="470" name="Group 49"/>
            <xdr:cNvGrpSpPr/>
          </xdr:nvGrpSpPr>
          <xdr:grpSpPr>
            <a:xfrm>
              <a:off x="4554332" y="11630158"/>
              <a:ext cx="1603722" cy="585919"/>
              <a:chOff x="4554332" y="11630158"/>
              <a:chExt cx="1603722" cy="585919"/>
            </a:xfrm>
          </xdr:grpSpPr>
          <xdr:cxnSp macro="">
            <xdr:nvCxnSpPr>
              <xdr:cNvPr id="482" name="Straight Connector 481"/>
              <xdr:cNvCxnSpPr/>
            </xdr:nvCxnSpPr>
            <xdr:spPr>
              <a:xfrm>
                <a:off x="5274932" y="11630158"/>
                <a:ext cx="0" cy="5859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8" name="Straight Connector 487"/>
              <xdr:cNvCxnSpPr/>
            </xdr:nvCxnSpPr>
            <xdr:spPr>
              <a:xfrm>
                <a:off x="4554332" y="11930061"/>
                <a:ext cx="1603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9" name="Rectangle 48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71" name="TextBox 470"/>
            <xdr:cNvSpPr txBox="1"/>
          </xdr:nvSpPr>
          <xdr:spPr>
            <a:xfrm>
              <a:off x="5169575" y="1151631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475" name="TextBox 474"/>
            <xdr:cNvSpPr txBox="1"/>
          </xdr:nvSpPr>
          <xdr:spPr>
            <a:xfrm>
              <a:off x="6115136"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459" name="TextBox 458"/>
          <xdr:cNvSpPr txBox="1"/>
        </xdr:nvSpPr>
        <xdr:spPr>
          <a:xfrm>
            <a:off x="2957553" y="63567424"/>
            <a:ext cx="215001" cy="172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sp macro="" textlink="">
        <xdr:nvSpPr>
          <xdr:cNvPr id="462" name="TextBox 461"/>
          <xdr:cNvSpPr txBox="1"/>
        </xdr:nvSpPr>
        <xdr:spPr>
          <a:xfrm>
            <a:off x="3516685" y="63649293"/>
            <a:ext cx="217576" cy="185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2" name="L-Shape 1"/>
          <xdr:cNvSpPr/>
        </xdr:nvSpPr>
        <xdr:spPr>
          <a:xfrm rot="8100000">
            <a:off x="2867025" y="63103124"/>
            <a:ext cx="914400" cy="914400"/>
          </a:xfrm>
          <a:prstGeom prst="corner">
            <a:avLst>
              <a:gd name="adj1" fmla="val 20537"/>
              <a:gd name="adj2" fmla="val 20303"/>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490" name="Straight Connector 489"/>
          <xdr:cNvCxnSpPr/>
        </xdr:nvCxnSpPr>
        <xdr:spPr>
          <a:xfrm>
            <a:off x="3867595" y="63696653"/>
            <a:ext cx="2989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4" name="Straight Connector 493"/>
          <xdr:cNvCxnSpPr/>
        </xdr:nvCxnSpPr>
        <xdr:spPr>
          <a:xfrm>
            <a:off x="3359395" y="62924396"/>
            <a:ext cx="807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5" name="Straight Arrow Connector 494"/>
          <xdr:cNvCxnSpPr/>
        </xdr:nvCxnSpPr>
        <xdr:spPr>
          <a:xfrm>
            <a:off x="4072130" y="62922150"/>
            <a:ext cx="0" cy="44154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6" name="Straight Arrow Connector 495"/>
          <xdr:cNvCxnSpPr/>
        </xdr:nvCxnSpPr>
        <xdr:spPr>
          <a:xfrm>
            <a:off x="4072130" y="63355904"/>
            <a:ext cx="0" cy="33850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1" name="TextBox 500"/>
          <xdr:cNvSpPr txBox="1"/>
        </xdr:nvSpPr>
        <xdr:spPr>
          <a:xfrm>
            <a:off x="4054488" y="63029018"/>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ẏ₁</a:t>
            </a:r>
          </a:p>
        </xdr:txBody>
      </xdr:sp>
      <xdr:sp macro="" textlink="">
        <xdr:nvSpPr>
          <xdr:cNvPr id="508" name="TextBox 507"/>
          <xdr:cNvSpPr txBox="1"/>
        </xdr:nvSpPr>
        <xdr:spPr>
          <a:xfrm>
            <a:off x="4054488" y="63441524"/>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ẏ₂</a:t>
            </a:r>
          </a:p>
        </xdr:txBody>
      </xdr:sp>
      <xdr:cxnSp macro="">
        <xdr:nvCxnSpPr>
          <xdr:cNvPr id="523" name="Straight Arrow Connector 522"/>
          <xdr:cNvCxnSpPr/>
        </xdr:nvCxnSpPr>
        <xdr:spPr>
          <a:xfrm>
            <a:off x="3320789" y="63823936"/>
            <a:ext cx="6449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4" name="TextBox 523"/>
          <xdr:cNvSpPr txBox="1"/>
        </xdr:nvSpPr>
        <xdr:spPr>
          <a:xfrm>
            <a:off x="2759599" y="62950915"/>
            <a:ext cx="136929" cy="174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525" name="Straight Connector 524"/>
          <xdr:cNvCxnSpPr/>
        </xdr:nvCxnSpPr>
        <xdr:spPr>
          <a:xfrm flipV="1">
            <a:off x="3966795" y="63319261"/>
            <a:ext cx="0" cy="608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7" name="Straight Connector 526"/>
          <xdr:cNvCxnSpPr/>
        </xdr:nvCxnSpPr>
        <xdr:spPr>
          <a:xfrm rot="8100000" flipV="1">
            <a:off x="2597192" y="63376344"/>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 name="Straight Connector 527"/>
          <xdr:cNvCxnSpPr/>
        </xdr:nvCxnSpPr>
        <xdr:spPr>
          <a:xfrm rot="8100000" flipV="1">
            <a:off x="3241229" y="62743297"/>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 name="Straight Connector 528"/>
          <xdr:cNvCxnSpPr/>
        </xdr:nvCxnSpPr>
        <xdr:spPr>
          <a:xfrm>
            <a:off x="2727214" y="63189448"/>
            <a:ext cx="159003" cy="159736"/>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530" name="Straight Connector 529"/>
          <xdr:cNvCxnSpPr/>
        </xdr:nvCxnSpPr>
        <xdr:spPr>
          <a:xfrm rot="8100000" flipV="1">
            <a:off x="3080403" y="63464634"/>
            <a:ext cx="0" cy="174323"/>
          </a:xfrm>
          <a:prstGeom prst="line">
            <a:avLst/>
          </a:prstGeom>
          <a:ln>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308965</xdr:colOff>
      <xdr:row>823</xdr:row>
      <xdr:rowOff>124558</xdr:rowOff>
    </xdr:from>
    <xdr:to>
      <xdr:col>7</xdr:col>
      <xdr:colOff>409377</xdr:colOff>
      <xdr:row>836</xdr:row>
      <xdr:rowOff>36521</xdr:rowOff>
    </xdr:to>
    <xdr:grpSp>
      <xdr:nvGrpSpPr>
        <xdr:cNvPr id="272" name="Group 271"/>
        <xdr:cNvGrpSpPr/>
      </xdr:nvGrpSpPr>
      <xdr:grpSpPr>
        <a:xfrm>
          <a:off x="2777845" y="145476058"/>
          <a:ext cx="1952072" cy="2190343"/>
          <a:chOff x="2694356" y="72580819"/>
          <a:chExt cx="1889456" cy="2065441"/>
        </a:xfrm>
      </xdr:grpSpPr>
      <xdr:sp macro="" textlink="">
        <xdr:nvSpPr>
          <xdr:cNvPr id="542" name="TextBox 541"/>
          <xdr:cNvSpPr txBox="1"/>
        </xdr:nvSpPr>
        <xdr:spPr>
          <a:xfrm>
            <a:off x="3314142" y="74456856"/>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46" name="Straight Arrow Connector 545"/>
          <xdr:cNvCxnSpPr/>
        </xdr:nvCxnSpPr>
        <xdr:spPr>
          <a:xfrm>
            <a:off x="2873190" y="73666382"/>
            <a:ext cx="0" cy="453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8" name="TextBox 547"/>
          <xdr:cNvSpPr txBox="1"/>
        </xdr:nvSpPr>
        <xdr:spPr>
          <a:xfrm>
            <a:off x="2694356" y="7377325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550" name="Straight Arrow Connector 549"/>
          <xdr:cNvCxnSpPr/>
        </xdr:nvCxnSpPr>
        <xdr:spPr>
          <a:xfrm>
            <a:off x="3260163" y="74454919"/>
            <a:ext cx="32414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1" name="L-Shape 210"/>
          <xdr:cNvSpPr/>
        </xdr:nvSpPr>
        <xdr:spPr>
          <a:xfrm>
            <a:off x="3257964" y="72787566"/>
            <a:ext cx="910673" cy="1325218"/>
          </a:xfrm>
          <a:prstGeom prst="corner">
            <a:avLst>
              <a:gd name="adj1" fmla="val 15625"/>
              <a:gd name="adj2" fmla="val 1562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nvGrpSpPr>
          <xdr:cNvPr id="560" name="Group 45"/>
          <xdr:cNvGrpSpPr/>
        </xdr:nvGrpSpPr>
        <xdr:grpSpPr>
          <a:xfrm>
            <a:off x="2759065" y="72580819"/>
            <a:ext cx="1640554" cy="1926325"/>
            <a:chOff x="4470070" y="11352894"/>
            <a:chExt cx="1585069" cy="1017809"/>
          </a:xfrm>
        </xdr:grpSpPr>
        <xdr:grpSp>
          <xdr:nvGrpSpPr>
            <xdr:cNvPr id="586" name="Group 49"/>
            <xdr:cNvGrpSpPr/>
          </xdr:nvGrpSpPr>
          <xdr:grpSpPr>
            <a:xfrm>
              <a:off x="4470070" y="11447857"/>
              <a:ext cx="1483271" cy="922846"/>
              <a:chOff x="4470070" y="11447857"/>
              <a:chExt cx="1483271" cy="922846"/>
            </a:xfrm>
          </xdr:grpSpPr>
          <xdr:cxnSp macro="">
            <xdr:nvCxnSpPr>
              <xdr:cNvPr id="589" name="Straight Connector 588"/>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0" name="Straight Connector 58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1" name="Rectangle 59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87" name="TextBox 58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88" name="TextBox 58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561" name="Straight Connector 560"/>
          <xdr:cNvCxnSpPr/>
        </xdr:nvCxnSpPr>
        <xdr:spPr>
          <a:xfrm>
            <a:off x="4201690" y="74105821"/>
            <a:ext cx="2999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 name="Straight Connector 561"/>
          <xdr:cNvCxnSpPr/>
        </xdr:nvCxnSpPr>
        <xdr:spPr>
          <a:xfrm>
            <a:off x="4201600" y="73972619"/>
            <a:ext cx="299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 name="Straight Arrow Connector 562"/>
          <xdr:cNvCxnSpPr/>
        </xdr:nvCxnSpPr>
        <xdr:spPr>
          <a:xfrm>
            <a:off x="4420030" y="73769388"/>
            <a:ext cx="0" cy="20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4" name="TextBox 563"/>
          <xdr:cNvSpPr txBox="1"/>
        </xdr:nvSpPr>
        <xdr:spPr>
          <a:xfrm>
            <a:off x="4368383" y="73659214"/>
            <a:ext cx="215429" cy="17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65" name="Group 564"/>
          <xdr:cNvGrpSpPr/>
        </xdr:nvGrpSpPr>
        <xdr:grpSpPr>
          <a:xfrm>
            <a:off x="3256866" y="74171634"/>
            <a:ext cx="917574" cy="325773"/>
            <a:chOff x="11092691" y="55307204"/>
            <a:chExt cx="1017308" cy="322024"/>
          </a:xfrm>
        </xdr:grpSpPr>
        <xdr:cxnSp macro="">
          <xdr:nvCxnSpPr>
            <xdr:cNvPr id="582" name="Straight Connector 581"/>
            <xdr:cNvCxnSpPr/>
          </xdr:nvCxnSpPr>
          <xdr:spPr>
            <a:xfrm flipV="1">
              <a:off x="11092691" y="55307204"/>
              <a:ext cx="0" cy="322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3" name="Straight Arrow Connector 582"/>
            <xdr:cNvCxnSpPr/>
          </xdr:nvCxnSpPr>
          <xdr:spPr>
            <a:xfrm>
              <a:off x="11104360" y="55405825"/>
              <a:ext cx="100389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4" name="TextBox 583"/>
            <xdr:cNvSpPr txBox="1"/>
          </xdr:nvSpPr>
          <xdr:spPr>
            <a:xfrm>
              <a:off x="11455545" y="55410471"/>
              <a:ext cx="217343"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85" name="Straight Connector 584"/>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2" name="Straight Arrow Connector 571"/>
          <xdr:cNvCxnSpPr/>
        </xdr:nvCxnSpPr>
        <xdr:spPr>
          <a:xfrm flipV="1">
            <a:off x="4420030" y="74105694"/>
            <a:ext cx="0" cy="203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2" name="TextBox 591"/>
          <xdr:cNvSpPr txBox="1"/>
        </xdr:nvSpPr>
        <xdr:spPr>
          <a:xfrm>
            <a:off x="2842591" y="73296475"/>
            <a:ext cx="272498" cy="21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93" name="Straight Arrow Connector 592"/>
          <xdr:cNvCxnSpPr/>
        </xdr:nvCxnSpPr>
        <xdr:spPr>
          <a:xfrm>
            <a:off x="3053008" y="72797090"/>
            <a:ext cx="0" cy="130683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4" name="Straight Connector 593"/>
          <xdr:cNvCxnSpPr/>
        </xdr:nvCxnSpPr>
        <xdr:spPr>
          <a:xfrm>
            <a:off x="2918791" y="72787565"/>
            <a:ext cx="294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 name="Straight Connector 594"/>
          <xdr:cNvCxnSpPr/>
        </xdr:nvCxnSpPr>
        <xdr:spPr>
          <a:xfrm>
            <a:off x="2722429" y="74112783"/>
            <a:ext cx="4911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75500</xdr:colOff>
      <xdr:row>554</xdr:row>
      <xdr:rowOff>323</xdr:rowOff>
    </xdr:from>
    <xdr:to>
      <xdr:col>6</xdr:col>
      <xdr:colOff>523358</xdr:colOff>
      <xdr:row>565</xdr:row>
      <xdr:rowOff>2586</xdr:rowOff>
    </xdr:to>
    <xdr:grpSp>
      <xdr:nvGrpSpPr>
        <xdr:cNvPr id="18" name="Group 17"/>
        <xdr:cNvGrpSpPr/>
      </xdr:nvGrpSpPr>
      <xdr:grpSpPr>
        <a:xfrm>
          <a:off x="2544380" y="97863983"/>
          <a:ext cx="1682298" cy="1930123"/>
          <a:chOff x="2460891" y="81269280"/>
          <a:chExt cx="1640554" cy="1824436"/>
        </a:xfrm>
      </xdr:grpSpPr>
      <xdr:sp macro="" textlink="">
        <xdr:nvSpPr>
          <xdr:cNvPr id="636" name="TextBox 635"/>
          <xdr:cNvSpPr txBox="1"/>
        </xdr:nvSpPr>
        <xdr:spPr>
          <a:xfrm>
            <a:off x="3471512" y="82698050"/>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637" name="Straight Arrow Connector 636"/>
          <xdr:cNvCxnSpPr/>
        </xdr:nvCxnSpPr>
        <xdr:spPr>
          <a:xfrm>
            <a:off x="3908516" y="81716217"/>
            <a:ext cx="0" cy="64481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8" name="TextBox 637"/>
          <xdr:cNvSpPr txBox="1"/>
        </xdr:nvSpPr>
        <xdr:spPr>
          <a:xfrm>
            <a:off x="3878769" y="8193162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641" name="Group 45"/>
          <xdr:cNvGrpSpPr/>
        </xdr:nvGrpSpPr>
        <xdr:grpSpPr>
          <a:xfrm>
            <a:off x="2460891" y="81269280"/>
            <a:ext cx="1640554" cy="1581649"/>
            <a:chOff x="4470070" y="11352894"/>
            <a:chExt cx="1585069" cy="835693"/>
          </a:xfrm>
        </xdr:grpSpPr>
        <xdr:grpSp>
          <xdr:nvGrpSpPr>
            <xdr:cNvPr id="656" name="Group 49"/>
            <xdr:cNvGrpSpPr/>
          </xdr:nvGrpSpPr>
          <xdr:grpSpPr>
            <a:xfrm>
              <a:off x="4470070" y="11491620"/>
              <a:ext cx="1483271" cy="696967"/>
              <a:chOff x="4470070" y="11491620"/>
              <a:chExt cx="1483271" cy="696967"/>
            </a:xfrm>
          </xdr:grpSpPr>
          <xdr:cxnSp macro="">
            <xdr:nvCxnSpPr>
              <xdr:cNvPr id="659" name="Straight Connector 658"/>
              <xdr:cNvCxnSpPr/>
            </xdr:nvCxnSpPr>
            <xdr:spPr>
              <a:xfrm>
                <a:off x="5280424" y="11491620"/>
                <a:ext cx="0" cy="696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0" name="Straight Connector 65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1" name="Rectangle 66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657" name="TextBox 65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658" name="TextBox 65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654" name="TextBox 653"/>
          <xdr:cNvSpPr txBox="1"/>
        </xdr:nvSpPr>
        <xdr:spPr>
          <a:xfrm>
            <a:off x="3227995" y="82914864"/>
            <a:ext cx="196035" cy="178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651" name="Straight Connector 650"/>
          <xdr:cNvCxnSpPr/>
        </xdr:nvCxnSpPr>
        <xdr:spPr>
          <a:xfrm>
            <a:off x="3335343" y="81707937"/>
            <a:ext cx="6982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 name="Isosceles Triangle 2"/>
          <xdr:cNvSpPr/>
        </xdr:nvSpPr>
        <xdr:spPr>
          <a:xfrm>
            <a:off x="2766392" y="81699652"/>
            <a:ext cx="1060704" cy="914400"/>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1" name="Straight Connector 510"/>
          <xdr:cNvCxnSpPr/>
        </xdr:nvCxnSpPr>
        <xdr:spPr>
          <a:xfrm flipV="1">
            <a:off x="3828367"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 name="Straight Arrow Connector 511"/>
          <xdr:cNvCxnSpPr/>
        </xdr:nvCxnSpPr>
        <xdr:spPr>
          <a:xfrm>
            <a:off x="3292239" y="82711380"/>
            <a:ext cx="54260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1" name="Straight Connector 520"/>
          <xdr:cNvCxnSpPr/>
        </xdr:nvCxnSpPr>
        <xdr:spPr>
          <a:xfrm flipV="1">
            <a:off x="2768194"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2" name="Straight Arrow Connector 521"/>
          <xdr:cNvCxnSpPr/>
        </xdr:nvCxnSpPr>
        <xdr:spPr>
          <a:xfrm>
            <a:off x="2762152" y="82935012"/>
            <a:ext cx="106441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298019</xdr:colOff>
      <xdr:row>501</xdr:row>
      <xdr:rowOff>149926</xdr:rowOff>
    </xdr:from>
    <xdr:to>
      <xdr:col>7</xdr:col>
      <xdr:colOff>219752</xdr:colOff>
      <xdr:row>513</xdr:row>
      <xdr:rowOff>102495</xdr:rowOff>
    </xdr:to>
    <xdr:grpSp>
      <xdr:nvGrpSpPr>
        <xdr:cNvPr id="271" name="Group 270"/>
        <xdr:cNvGrpSpPr/>
      </xdr:nvGrpSpPr>
      <xdr:grpSpPr>
        <a:xfrm>
          <a:off x="2766899" y="88656226"/>
          <a:ext cx="1773393" cy="2055689"/>
          <a:chOff x="2405425" y="87589426"/>
          <a:chExt cx="1725529" cy="1881381"/>
        </a:xfrm>
      </xdr:grpSpPr>
      <xdr:sp macro="" textlink="">
        <xdr:nvSpPr>
          <xdr:cNvPr id="566" name="TextBox 565"/>
          <xdr:cNvSpPr txBox="1"/>
        </xdr:nvSpPr>
        <xdr:spPr>
          <a:xfrm>
            <a:off x="2405425" y="88351928"/>
            <a:ext cx="274050" cy="20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67" name="Straight Arrow Connector 566"/>
          <xdr:cNvCxnSpPr/>
        </xdr:nvCxnSpPr>
        <xdr:spPr>
          <a:xfrm>
            <a:off x="2617395" y="87903844"/>
            <a:ext cx="0" cy="11059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8" name="Straight Connector 567"/>
          <xdr:cNvCxnSpPr/>
        </xdr:nvCxnSpPr>
        <xdr:spPr>
          <a:xfrm>
            <a:off x="2547937" y="89006726"/>
            <a:ext cx="2002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5" name="TextBox 534"/>
          <xdr:cNvSpPr txBox="1"/>
        </xdr:nvSpPr>
        <xdr:spPr>
          <a:xfrm>
            <a:off x="3496432" y="89089105"/>
            <a:ext cx="222913" cy="184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36" name="Straight Arrow Connector 535"/>
          <xdr:cNvCxnSpPr/>
        </xdr:nvCxnSpPr>
        <xdr:spPr>
          <a:xfrm>
            <a:off x="3937687" y="87897891"/>
            <a:ext cx="0" cy="8036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TextBox 536"/>
          <xdr:cNvSpPr txBox="1"/>
        </xdr:nvSpPr>
        <xdr:spPr>
          <a:xfrm>
            <a:off x="3907888" y="88194575"/>
            <a:ext cx="216929" cy="214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540" name="Group 45"/>
          <xdr:cNvGrpSpPr/>
        </xdr:nvGrpSpPr>
        <xdr:grpSpPr>
          <a:xfrm>
            <a:off x="2768205" y="87589426"/>
            <a:ext cx="1362749" cy="1558621"/>
            <a:chOff x="4746326" y="11291626"/>
            <a:chExt cx="1308813" cy="896961"/>
          </a:xfrm>
        </xdr:grpSpPr>
        <xdr:grpSp>
          <xdr:nvGrpSpPr>
            <xdr:cNvPr id="541" name="Group 49"/>
            <xdr:cNvGrpSpPr/>
          </xdr:nvGrpSpPr>
          <xdr:grpSpPr>
            <a:xfrm>
              <a:off x="4746326" y="11427121"/>
              <a:ext cx="1207015" cy="761466"/>
              <a:chOff x="4746326" y="11427121"/>
              <a:chExt cx="1207015" cy="761466"/>
            </a:xfrm>
          </xdr:grpSpPr>
          <xdr:cxnSp macro="">
            <xdr:nvCxnSpPr>
              <xdr:cNvPr id="545" name="Straight Connector 544"/>
              <xdr:cNvCxnSpPr/>
            </xdr:nvCxnSpPr>
            <xdr:spPr>
              <a:xfrm>
                <a:off x="5280424" y="11427121"/>
                <a:ext cx="0" cy="761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Straight Connector 546"/>
              <xdr:cNvCxnSpPr/>
            </xdr:nvCxnSpPr>
            <xdr:spPr>
              <a:xfrm>
                <a:off x="4746326" y="11930061"/>
                <a:ext cx="12070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9" name="Rectangle 54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43" name="TextBox 542"/>
            <xdr:cNvSpPr txBox="1"/>
          </xdr:nvSpPr>
          <xdr:spPr>
            <a:xfrm>
              <a:off x="5169575" y="11291626"/>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44" name="TextBox 54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557" name="TextBox 556"/>
          <xdr:cNvSpPr txBox="1"/>
        </xdr:nvSpPr>
        <xdr:spPr>
          <a:xfrm>
            <a:off x="3252491" y="89297024"/>
            <a:ext cx="196376" cy="173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69" name="Straight Connector 568"/>
          <xdr:cNvCxnSpPr/>
        </xdr:nvCxnSpPr>
        <xdr:spPr>
          <a:xfrm>
            <a:off x="3360026" y="87902456"/>
            <a:ext cx="702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0" name="Isosceles Triangle 569"/>
          <xdr:cNvSpPr/>
        </xdr:nvSpPr>
        <xdr:spPr>
          <a:xfrm>
            <a:off x="2790392" y="87900597"/>
            <a:ext cx="1065732" cy="1105252"/>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71" name="Straight Connector 570"/>
          <xdr:cNvCxnSpPr/>
        </xdr:nvCxnSpPr>
        <xdr:spPr>
          <a:xfrm flipV="1">
            <a:off x="3857399"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3" name="Straight Arrow Connector 572"/>
          <xdr:cNvCxnSpPr/>
        </xdr:nvCxnSpPr>
        <xdr:spPr>
          <a:xfrm>
            <a:off x="3316847" y="89102317"/>
            <a:ext cx="54704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4" name="Straight Connector 573"/>
          <xdr:cNvCxnSpPr/>
        </xdr:nvCxnSpPr>
        <xdr:spPr>
          <a:xfrm flipV="1">
            <a:off x="2788401"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 name="Straight Arrow Connector 574"/>
          <xdr:cNvCxnSpPr/>
        </xdr:nvCxnSpPr>
        <xdr:spPr>
          <a:xfrm>
            <a:off x="2782348" y="89316995"/>
            <a:ext cx="107324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6" name="Straight Connector 575"/>
          <xdr:cNvCxnSpPr/>
        </xdr:nvCxnSpPr>
        <xdr:spPr>
          <a:xfrm>
            <a:off x="2541984" y="87905398"/>
            <a:ext cx="7420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580" name="Group 579"/>
        <xdr:cNvGrpSpPr/>
      </xdr:nvGrpSpPr>
      <xdr:grpSpPr>
        <a:xfrm>
          <a:off x="40822" y="1267641"/>
          <a:ext cx="2494733" cy="630195"/>
          <a:chOff x="40822" y="1267641"/>
          <a:chExt cx="2570933" cy="630195"/>
        </a:xfrm>
      </xdr:grpSpPr>
      <xdr:pic>
        <xdr:nvPicPr>
          <xdr:cNvPr id="581" name="Picture 58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98" name="Picture 5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60</xdr:row>
      <xdr:rowOff>40821</xdr:rowOff>
    </xdr:from>
    <xdr:to>
      <xdr:col>4</xdr:col>
      <xdr:colOff>66675</xdr:colOff>
      <xdr:row>63</xdr:row>
      <xdr:rowOff>145236</xdr:rowOff>
    </xdr:to>
    <xdr:grpSp>
      <xdr:nvGrpSpPr>
        <xdr:cNvPr id="599" name="Group 598"/>
        <xdr:cNvGrpSpPr/>
      </xdr:nvGrpSpPr>
      <xdr:grpSpPr>
        <a:xfrm>
          <a:off x="40822" y="10655481"/>
          <a:ext cx="2494733" cy="630195"/>
          <a:chOff x="40822" y="1267641"/>
          <a:chExt cx="2570933" cy="630195"/>
        </a:xfrm>
      </xdr:grpSpPr>
      <xdr:pic>
        <xdr:nvPicPr>
          <xdr:cNvPr id="600" name="Picture 5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1" name="Picture 6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113</xdr:row>
      <xdr:rowOff>40821</xdr:rowOff>
    </xdr:from>
    <xdr:to>
      <xdr:col>4</xdr:col>
      <xdr:colOff>66675</xdr:colOff>
      <xdr:row>116</xdr:row>
      <xdr:rowOff>145236</xdr:rowOff>
    </xdr:to>
    <xdr:grpSp>
      <xdr:nvGrpSpPr>
        <xdr:cNvPr id="602" name="Group 601"/>
        <xdr:cNvGrpSpPr/>
      </xdr:nvGrpSpPr>
      <xdr:grpSpPr>
        <a:xfrm>
          <a:off x="40822" y="20043321"/>
          <a:ext cx="2494733" cy="630195"/>
          <a:chOff x="40822" y="1267641"/>
          <a:chExt cx="2570933" cy="630195"/>
        </a:xfrm>
      </xdr:grpSpPr>
      <xdr:pic>
        <xdr:nvPicPr>
          <xdr:cNvPr id="603" name="Picture 6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4" name="Picture 6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602</xdr:row>
      <xdr:rowOff>40821</xdr:rowOff>
    </xdr:from>
    <xdr:to>
      <xdr:col>4</xdr:col>
      <xdr:colOff>66675</xdr:colOff>
      <xdr:row>605</xdr:row>
      <xdr:rowOff>145236</xdr:rowOff>
    </xdr:to>
    <xdr:grpSp>
      <xdr:nvGrpSpPr>
        <xdr:cNvPr id="605" name="Group 604"/>
        <xdr:cNvGrpSpPr/>
      </xdr:nvGrpSpPr>
      <xdr:grpSpPr>
        <a:xfrm>
          <a:off x="40822" y="106362681"/>
          <a:ext cx="2494733" cy="630195"/>
          <a:chOff x="40822" y="1267641"/>
          <a:chExt cx="2570933" cy="630195"/>
        </a:xfrm>
      </xdr:grpSpPr>
      <xdr:pic>
        <xdr:nvPicPr>
          <xdr:cNvPr id="606" name="Picture 6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7" name="Picture 6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657</xdr:row>
      <xdr:rowOff>40821</xdr:rowOff>
    </xdr:from>
    <xdr:to>
      <xdr:col>4</xdr:col>
      <xdr:colOff>66675</xdr:colOff>
      <xdr:row>660</xdr:row>
      <xdr:rowOff>145236</xdr:rowOff>
    </xdr:to>
    <xdr:grpSp>
      <xdr:nvGrpSpPr>
        <xdr:cNvPr id="608" name="Group 607"/>
        <xdr:cNvGrpSpPr/>
      </xdr:nvGrpSpPr>
      <xdr:grpSpPr>
        <a:xfrm>
          <a:off x="40822" y="116070561"/>
          <a:ext cx="2494733" cy="630195"/>
          <a:chOff x="40822" y="1267641"/>
          <a:chExt cx="2570933" cy="630195"/>
        </a:xfrm>
      </xdr:grpSpPr>
      <xdr:pic>
        <xdr:nvPicPr>
          <xdr:cNvPr id="609" name="Picture 60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10" name="Picture 60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712</xdr:row>
      <xdr:rowOff>40821</xdr:rowOff>
    </xdr:from>
    <xdr:to>
      <xdr:col>4</xdr:col>
      <xdr:colOff>66675</xdr:colOff>
      <xdr:row>715</xdr:row>
      <xdr:rowOff>145236</xdr:rowOff>
    </xdr:to>
    <xdr:grpSp>
      <xdr:nvGrpSpPr>
        <xdr:cNvPr id="611" name="Group 610"/>
        <xdr:cNvGrpSpPr/>
      </xdr:nvGrpSpPr>
      <xdr:grpSpPr>
        <a:xfrm>
          <a:off x="40822" y="125778441"/>
          <a:ext cx="2494733" cy="630195"/>
          <a:chOff x="40822" y="1267641"/>
          <a:chExt cx="2570933" cy="630195"/>
        </a:xfrm>
      </xdr:grpSpPr>
      <xdr:pic>
        <xdr:nvPicPr>
          <xdr:cNvPr id="612" name="Picture 6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2" name="Picture 69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765</xdr:row>
      <xdr:rowOff>40821</xdr:rowOff>
    </xdr:from>
    <xdr:to>
      <xdr:col>4</xdr:col>
      <xdr:colOff>66675</xdr:colOff>
      <xdr:row>768</xdr:row>
      <xdr:rowOff>145236</xdr:rowOff>
    </xdr:to>
    <xdr:grpSp>
      <xdr:nvGrpSpPr>
        <xdr:cNvPr id="693" name="Group 692"/>
        <xdr:cNvGrpSpPr/>
      </xdr:nvGrpSpPr>
      <xdr:grpSpPr>
        <a:xfrm>
          <a:off x="40822" y="135135801"/>
          <a:ext cx="2494733" cy="630195"/>
          <a:chOff x="40822" y="1267641"/>
          <a:chExt cx="2570933" cy="630195"/>
        </a:xfrm>
      </xdr:grpSpPr>
      <xdr:pic>
        <xdr:nvPicPr>
          <xdr:cNvPr id="694" name="Picture 69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5" name="Picture 69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818</xdr:row>
      <xdr:rowOff>40821</xdr:rowOff>
    </xdr:from>
    <xdr:to>
      <xdr:col>4</xdr:col>
      <xdr:colOff>66675</xdr:colOff>
      <xdr:row>821</xdr:row>
      <xdr:rowOff>145236</xdr:rowOff>
    </xdr:to>
    <xdr:grpSp>
      <xdr:nvGrpSpPr>
        <xdr:cNvPr id="696" name="Group 695"/>
        <xdr:cNvGrpSpPr/>
      </xdr:nvGrpSpPr>
      <xdr:grpSpPr>
        <a:xfrm>
          <a:off x="40822" y="144493161"/>
          <a:ext cx="2494733" cy="630195"/>
          <a:chOff x="40822" y="1267641"/>
          <a:chExt cx="2570933" cy="630195"/>
        </a:xfrm>
      </xdr:grpSpPr>
      <xdr:pic>
        <xdr:nvPicPr>
          <xdr:cNvPr id="697" name="Picture 696">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8" name="Picture 6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549</xdr:row>
      <xdr:rowOff>40821</xdr:rowOff>
    </xdr:from>
    <xdr:to>
      <xdr:col>4</xdr:col>
      <xdr:colOff>66675</xdr:colOff>
      <xdr:row>552</xdr:row>
      <xdr:rowOff>145236</xdr:rowOff>
    </xdr:to>
    <xdr:grpSp>
      <xdr:nvGrpSpPr>
        <xdr:cNvPr id="699" name="Group 698"/>
        <xdr:cNvGrpSpPr/>
      </xdr:nvGrpSpPr>
      <xdr:grpSpPr>
        <a:xfrm>
          <a:off x="40822" y="97005321"/>
          <a:ext cx="2494733" cy="630195"/>
          <a:chOff x="40822" y="1267641"/>
          <a:chExt cx="2570933" cy="630195"/>
        </a:xfrm>
      </xdr:grpSpPr>
      <xdr:pic>
        <xdr:nvPicPr>
          <xdr:cNvPr id="700" name="Picture 6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1" name="Picture 7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496</xdr:row>
      <xdr:rowOff>40821</xdr:rowOff>
    </xdr:from>
    <xdr:to>
      <xdr:col>4</xdr:col>
      <xdr:colOff>66675</xdr:colOff>
      <xdr:row>499</xdr:row>
      <xdr:rowOff>145236</xdr:rowOff>
    </xdr:to>
    <xdr:grpSp>
      <xdr:nvGrpSpPr>
        <xdr:cNvPr id="702" name="Group 701"/>
        <xdr:cNvGrpSpPr/>
      </xdr:nvGrpSpPr>
      <xdr:grpSpPr>
        <a:xfrm>
          <a:off x="40822" y="87647961"/>
          <a:ext cx="2494733" cy="630195"/>
          <a:chOff x="40822" y="1267641"/>
          <a:chExt cx="2570933" cy="630195"/>
        </a:xfrm>
      </xdr:grpSpPr>
      <xdr:pic>
        <xdr:nvPicPr>
          <xdr:cNvPr id="703" name="Picture 7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4" name="Picture 7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221</xdr:row>
      <xdr:rowOff>40821</xdr:rowOff>
    </xdr:from>
    <xdr:to>
      <xdr:col>4</xdr:col>
      <xdr:colOff>66675</xdr:colOff>
      <xdr:row>224</xdr:row>
      <xdr:rowOff>145236</xdr:rowOff>
    </xdr:to>
    <xdr:grpSp>
      <xdr:nvGrpSpPr>
        <xdr:cNvPr id="705" name="Group 704"/>
        <xdr:cNvGrpSpPr/>
      </xdr:nvGrpSpPr>
      <xdr:grpSpPr>
        <a:xfrm>
          <a:off x="40822" y="39108561"/>
          <a:ext cx="2494733" cy="630195"/>
          <a:chOff x="40822" y="1267641"/>
          <a:chExt cx="2570933" cy="630195"/>
        </a:xfrm>
      </xdr:grpSpPr>
      <xdr:pic>
        <xdr:nvPicPr>
          <xdr:cNvPr id="706" name="Picture 7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7" name="Picture 7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276</xdr:row>
      <xdr:rowOff>40821</xdr:rowOff>
    </xdr:from>
    <xdr:to>
      <xdr:col>4</xdr:col>
      <xdr:colOff>66675</xdr:colOff>
      <xdr:row>279</xdr:row>
      <xdr:rowOff>145236</xdr:rowOff>
    </xdr:to>
    <xdr:grpSp>
      <xdr:nvGrpSpPr>
        <xdr:cNvPr id="714" name="Group 713"/>
        <xdr:cNvGrpSpPr/>
      </xdr:nvGrpSpPr>
      <xdr:grpSpPr>
        <a:xfrm>
          <a:off x="40822" y="48816441"/>
          <a:ext cx="2494733" cy="630195"/>
          <a:chOff x="40822" y="1267641"/>
          <a:chExt cx="2570933" cy="630195"/>
        </a:xfrm>
      </xdr:grpSpPr>
      <xdr:pic>
        <xdr:nvPicPr>
          <xdr:cNvPr id="715" name="Picture 71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6" name="Picture 71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331</xdr:row>
      <xdr:rowOff>40821</xdr:rowOff>
    </xdr:from>
    <xdr:to>
      <xdr:col>4</xdr:col>
      <xdr:colOff>66675</xdr:colOff>
      <xdr:row>334</xdr:row>
      <xdr:rowOff>145236</xdr:rowOff>
    </xdr:to>
    <xdr:grpSp>
      <xdr:nvGrpSpPr>
        <xdr:cNvPr id="717" name="Group 716"/>
        <xdr:cNvGrpSpPr/>
      </xdr:nvGrpSpPr>
      <xdr:grpSpPr>
        <a:xfrm>
          <a:off x="40822" y="58524321"/>
          <a:ext cx="2494733" cy="630195"/>
          <a:chOff x="40822" y="1267641"/>
          <a:chExt cx="2570933" cy="630195"/>
        </a:xfrm>
      </xdr:grpSpPr>
      <xdr:pic>
        <xdr:nvPicPr>
          <xdr:cNvPr id="718" name="Picture 71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9" name="Picture 71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386</xdr:row>
      <xdr:rowOff>40821</xdr:rowOff>
    </xdr:from>
    <xdr:to>
      <xdr:col>4</xdr:col>
      <xdr:colOff>66675</xdr:colOff>
      <xdr:row>389</xdr:row>
      <xdr:rowOff>145236</xdr:rowOff>
    </xdr:to>
    <xdr:grpSp>
      <xdr:nvGrpSpPr>
        <xdr:cNvPr id="720" name="Group 719"/>
        <xdr:cNvGrpSpPr/>
      </xdr:nvGrpSpPr>
      <xdr:grpSpPr>
        <a:xfrm>
          <a:off x="40822" y="68232201"/>
          <a:ext cx="2494733" cy="630195"/>
          <a:chOff x="40822" y="1267641"/>
          <a:chExt cx="2570933" cy="630195"/>
        </a:xfrm>
      </xdr:grpSpPr>
      <xdr:pic>
        <xdr:nvPicPr>
          <xdr:cNvPr id="721" name="Picture 72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2" name="Picture 72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441</xdr:row>
      <xdr:rowOff>40821</xdr:rowOff>
    </xdr:from>
    <xdr:to>
      <xdr:col>4</xdr:col>
      <xdr:colOff>66675</xdr:colOff>
      <xdr:row>444</xdr:row>
      <xdr:rowOff>145236</xdr:rowOff>
    </xdr:to>
    <xdr:grpSp>
      <xdr:nvGrpSpPr>
        <xdr:cNvPr id="723" name="Group 722"/>
        <xdr:cNvGrpSpPr/>
      </xdr:nvGrpSpPr>
      <xdr:grpSpPr>
        <a:xfrm>
          <a:off x="40822" y="77940081"/>
          <a:ext cx="2494733" cy="630195"/>
          <a:chOff x="40822" y="1267641"/>
          <a:chExt cx="2570933" cy="630195"/>
        </a:xfrm>
      </xdr:grpSpPr>
      <xdr:pic>
        <xdr:nvPicPr>
          <xdr:cNvPr id="724" name="Picture 72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5" name="Picture 72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255894</xdr:colOff>
      <xdr:row>173</xdr:row>
      <xdr:rowOff>76208</xdr:rowOff>
    </xdr:from>
    <xdr:to>
      <xdr:col>6</xdr:col>
      <xdr:colOff>229937</xdr:colOff>
      <xdr:row>179</xdr:row>
      <xdr:rowOff>35076</xdr:rowOff>
    </xdr:to>
    <xdr:grpSp>
      <xdr:nvGrpSpPr>
        <xdr:cNvPr id="450" name="Group 449"/>
        <xdr:cNvGrpSpPr/>
      </xdr:nvGrpSpPr>
      <xdr:grpSpPr>
        <a:xfrm>
          <a:off x="2724774" y="30685748"/>
          <a:ext cx="1208483" cy="1010428"/>
          <a:chOff x="3908458" y="15169207"/>
          <a:chExt cx="1163535" cy="962390"/>
        </a:xfrm>
      </xdr:grpSpPr>
      <xdr:sp macro="" textlink="">
        <xdr:nvSpPr>
          <xdr:cNvPr id="451" name="Oval 450"/>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452" name="TextBox 451"/>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nvGrpSpPr>
          <xdr:cNvPr id="455" name="Group 45"/>
          <xdr:cNvGrpSpPr/>
        </xdr:nvGrpSpPr>
        <xdr:grpSpPr>
          <a:xfrm>
            <a:off x="3908458" y="15169207"/>
            <a:ext cx="1163535" cy="962390"/>
            <a:chOff x="4679159" y="11264777"/>
            <a:chExt cx="1392930" cy="1147486"/>
          </a:xfrm>
        </xdr:grpSpPr>
        <xdr:grpSp>
          <xdr:nvGrpSpPr>
            <xdr:cNvPr id="465" name="Group 49"/>
            <xdr:cNvGrpSpPr/>
          </xdr:nvGrpSpPr>
          <xdr:grpSpPr>
            <a:xfrm>
              <a:off x="4679159" y="11447857"/>
              <a:ext cx="1202531" cy="964406"/>
              <a:chOff x="4679159" y="11447857"/>
              <a:chExt cx="1202531" cy="964406"/>
            </a:xfrm>
          </xdr:grpSpPr>
          <xdr:cxnSp macro="">
            <xdr:nvCxnSpPr>
              <xdr:cNvPr id="469" name="Straight Connector 468"/>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 name="Straight Connector 472"/>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6" name="TextBox 465"/>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467" name="TextBox 466"/>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460" name="Straight Arrow Connector 459"/>
          <xdr:cNvCxnSpPr>
            <a:endCxn id="451"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166</xdr:row>
      <xdr:rowOff>40821</xdr:rowOff>
    </xdr:from>
    <xdr:to>
      <xdr:col>4</xdr:col>
      <xdr:colOff>66675</xdr:colOff>
      <xdr:row>169</xdr:row>
      <xdr:rowOff>145236</xdr:rowOff>
    </xdr:to>
    <xdr:grpSp>
      <xdr:nvGrpSpPr>
        <xdr:cNvPr id="531" name="Group 530"/>
        <xdr:cNvGrpSpPr/>
      </xdr:nvGrpSpPr>
      <xdr:grpSpPr>
        <a:xfrm>
          <a:off x="40822" y="29400681"/>
          <a:ext cx="2494733" cy="630195"/>
          <a:chOff x="40822" y="1267641"/>
          <a:chExt cx="2570933" cy="630195"/>
        </a:xfrm>
      </xdr:grpSpPr>
      <xdr:pic>
        <xdr:nvPicPr>
          <xdr:cNvPr id="532" name="Picture 53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33" name="Picture 53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xl-viking.com/" TargetMode="External"/><Relationship Id="rId13" Type="http://schemas.openxmlformats.org/officeDocument/2006/relationships/hyperlink" Target="http://www.xl-viking.com/" TargetMode="External"/><Relationship Id="rId1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hyperlink" Target="http://www.xl-viking.com/" TargetMode="External"/><Relationship Id="rId12" Type="http://schemas.openxmlformats.org/officeDocument/2006/relationships/hyperlink" Target="http://www.xl-viking.com/" TargetMode="External"/><Relationship Id="rId17" Type="http://schemas.openxmlformats.org/officeDocument/2006/relationships/printerSettings" Target="../printerSettings/printerSettings2.bin"/><Relationship Id="rId2" Type="http://schemas.openxmlformats.org/officeDocument/2006/relationships/hyperlink" Target="http://www.xl-viking.com/" TargetMode="External"/><Relationship Id="rId16"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11" Type="http://schemas.openxmlformats.org/officeDocument/2006/relationships/hyperlink" Target="http://www.xl-viking.com/" TargetMode="External"/><Relationship Id="rId5" Type="http://schemas.openxmlformats.org/officeDocument/2006/relationships/hyperlink" Target="http://www.xl-viking.com/" TargetMode="External"/><Relationship Id="rId15" Type="http://schemas.openxmlformats.org/officeDocument/2006/relationships/hyperlink" Target="http://www.xl-viking.com/" TargetMode="External"/><Relationship Id="rId10" Type="http://schemas.openxmlformats.org/officeDocument/2006/relationships/hyperlink" Target="http://www.xl-viking.com/" TargetMode="External"/><Relationship Id="rId4" Type="http://schemas.openxmlformats.org/officeDocument/2006/relationships/hyperlink" Target="http://www.xl-viking.com/" TargetMode="External"/><Relationship Id="rId9" Type="http://schemas.openxmlformats.org/officeDocument/2006/relationships/hyperlink" Target="http://www.xl-viking.com/" TargetMode="External"/><Relationship Id="rId14"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3"/>
  <sheetViews>
    <sheetView view="pageBreakPreview" topLeftCell="A43" zoomScaleNormal="100" zoomScaleSheetLayoutView="100" workbookViewId="0">
      <selection activeCell="I49" sqref="I49"/>
    </sheetView>
  </sheetViews>
  <sheetFormatPr defaultColWidth="9.109375" defaultRowHeight="15.6" x14ac:dyDescent="0.3"/>
  <cols>
    <col min="1" max="2" width="9.109375" style="63"/>
    <col min="3" max="3" width="10.6640625" style="63" bestFit="1" customWidth="1"/>
    <col min="4" max="11" width="9.109375" style="63"/>
    <col min="12" max="12" width="5.44140625" style="48" customWidth="1"/>
    <col min="13" max="17" width="5.33203125" style="82" customWidth="1"/>
    <col min="18" max="19" width="5.33203125" style="83" customWidth="1"/>
    <col min="20" max="25" width="9.109375" style="85"/>
    <col min="26" max="16384" width="9.109375" style="63"/>
  </cols>
  <sheetData>
    <row r="1" spans="1:25" s="48" customFormat="1" ht="13.8" x14ac:dyDescent="0.3">
      <c r="A1" s="44"/>
      <c r="B1" s="45" t="s">
        <v>5</v>
      </c>
      <c r="C1" s="46" t="s">
        <v>3</v>
      </c>
      <c r="D1" s="44"/>
      <c r="E1" s="44"/>
      <c r="F1" s="45" t="s">
        <v>51</v>
      </c>
      <c r="G1" s="47"/>
      <c r="H1" s="44"/>
      <c r="I1" s="44"/>
      <c r="J1" s="44"/>
      <c r="K1" s="44"/>
      <c r="M1" s="78"/>
      <c r="N1" s="78"/>
      <c r="O1" s="78"/>
      <c r="P1" s="78"/>
      <c r="Q1" s="78"/>
      <c r="R1" s="78"/>
      <c r="S1" s="78"/>
      <c r="T1" s="79"/>
      <c r="U1" s="79"/>
      <c r="V1" s="79"/>
      <c r="W1" s="80"/>
      <c r="X1" s="81"/>
      <c r="Y1" s="79"/>
    </row>
    <row r="2" spans="1:25" s="48" customFormat="1" ht="13.8" x14ac:dyDescent="0.3">
      <c r="A2" s="44"/>
      <c r="B2" s="45" t="s">
        <v>6</v>
      </c>
      <c r="C2" s="46" t="s">
        <v>7</v>
      </c>
      <c r="D2" s="44"/>
      <c r="E2" s="44"/>
      <c r="F2" s="45" t="s">
        <v>8</v>
      </c>
      <c r="G2" s="46"/>
      <c r="H2" s="44"/>
      <c r="I2" s="44"/>
      <c r="J2" s="44"/>
      <c r="K2" s="44"/>
      <c r="M2" s="78"/>
      <c r="N2" s="78"/>
      <c r="O2" s="78"/>
      <c r="P2" s="78"/>
      <c r="Q2" s="78"/>
      <c r="R2" s="78"/>
      <c r="S2" s="78"/>
      <c r="T2" s="79"/>
      <c r="U2" s="79"/>
      <c r="V2" s="79"/>
      <c r="W2" s="80"/>
      <c r="X2" s="81"/>
      <c r="Y2" s="79"/>
    </row>
    <row r="3" spans="1:25" s="48" customFormat="1" ht="13.8" x14ac:dyDescent="0.3">
      <c r="A3" s="44"/>
      <c r="B3" s="45" t="s">
        <v>1</v>
      </c>
      <c r="C3" s="53"/>
      <c r="D3" s="44"/>
      <c r="E3" s="44"/>
      <c r="F3" s="45" t="s">
        <v>0</v>
      </c>
      <c r="G3" s="46"/>
      <c r="H3" s="44"/>
      <c r="I3" s="44"/>
      <c r="J3" s="44"/>
      <c r="K3" s="44"/>
      <c r="M3" s="78"/>
      <c r="N3" s="78"/>
      <c r="O3" s="78"/>
      <c r="P3" s="78"/>
      <c r="Q3" s="78"/>
      <c r="R3" s="78"/>
      <c r="S3" s="78"/>
      <c r="T3" s="79"/>
      <c r="U3" s="79"/>
      <c r="V3" s="79"/>
      <c r="W3" s="80"/>
      <c r="X3" s="81"/>
      <c r="Y3" s="79"/>
    </row>
    <row r="4" spans="1:25" s="48" customFormat="1" ht="13.8" x14ac:dyDescent="0.3">
      <c r="A4" s="44"/>
      <c r="B4" s="45" t="s">
        <v>57</v>
      </c>
      <c r="C4" s="47"/>
      <c r="D4" s="44"/>
      <c r="E4" s="44"/>
      <c r="F4" s="45" t="s">
        <v>58</v>
      </c>
      <c r="G4" s="46" t="s">
        <v>59</v>
      </c>
      <c r="H4" s="44"/>
      <c r="I4" s="44"/>
      <c r="J4" s="44"/>
      <c r="K4" s="44"/>
      <c r="M4" s="78"/>
      <c r="N4" s="78"/>
      <c r="O4" s="78"/>
      <c r="P4" s="78"/>
      <c r="Q4" s="82"/>
      <c r="R4" s="83"/>
      <c r="S4" s="83"/>
      <c r="T4" s="79"/>
      <c r="U4" s="79"/>
      <c r="V4" s="79"/>
      <c r="W4" s="80"/>
      <c r="X4" s="81"/>
      <c r="Y4" s="79"/>
    </row>
    <row r="5" spans="1:25" s="48" customFormat="1" ht="13.8" x14ac:dyDescent="0.3">
      <c r="A5" s="44"/>
      <c r="B5" s="45" t="s">
        <v>60</v>
      </c>
      <c r="C5" s="47"/>
      <c r="D5" s="44"/>
      <c r="E5" s="45"/>
      <c r="F5" s="44"/>
      <c r="G5" s="44"/>
      <c r="H5" s="44"/>
      <c r="I5" s="44"/>
      <c r="J5" s="44"/>
      <c r="K5" s="44"/>
      <c r="M5" s="78"/>
      <c r="N5" s="78"/>
      <c r="O5" s="78"/>
      <c r="P5" s="78"/>
      <c r="Q5" s="82"/>
      <c r="R5" s="83"/>
      <c r="S5" s="83"/>
      <c r="T5" s="79"/>
      <c r="U5" s="79"/>
      <c r="V5" s="79"/>
      <c r="W5" s="80"/>
      <c r="X5" s="81"/>
      <c r="Y5" s="79"/>
    </row>
    <row r="6" spans="1:25" s="48" customFormat="1" ht="13.8" x14ac:dyDescent="0.3">
      <c r="A6" s="44"/>
      <c r="B6" s="44" t="s">
        <v>9</v>
      </c>
      <c r="C6" s="56"/>
      <c r="D6" s="44"/>
      <c r="E6" s="44"/>
      <c r="F6" s="44"/>
      <c r="G6" s="44"/>
      <c r="H6" s="44"/>
      <c r="I6" s="44"/>
      <c r="J6" s="44"/>
      <c r="K6" s="44"/>
      <c r="M6" s="78"/>
      <c r="N6" s="78"/>
      <c r="O6" s="78"/>
      <c r="P6" s="78"/>
      <c r="Q6" s="82"/>
      <c r="R6" s="83"/>
      <c r="S6" s="83"/>
      <c r="T6" s="79"/>
      <c r="U6" s="79"/>
      <c r="V6" s="79"/>
      <c r="W6" s="80"/>
      <c r="X6" s="81"/>
      <c r="Y6" s="79"/>
    </row>
    <row r="7" spans="1:25" s="48" customFormat="1" ht="13.8" x14ac:dyDescent="0.3">
      <c r="A7" s="44"/>
      <c r="B7" s="44"/>
      <c r="C7" s="44"/>
      <c r="D7" s="44"/>
      <c r="E7" s="44"/>
      <c r="F7" s="44"/>
      <c r="G7" s="44"/>
      <c r="H7" s="44"/>
      <c r="I7" s="44"/>
      <c r="J7" s="44"/>
      <c r="K7" s="44"/>
      <c r="M7" s="78"/>
      <c r="N7" s="78"/>
      <c r="O7" s="78"/>
      <c r="P7" s="78"/>
      <c r="Q7" s="82"/>
      <c r="R7" s="83"/>
      <c r="S7" s="83"/>
      <c r="T7" s="79"/>
      <c r="U7" s="79"/>
      <c r="V7" s="79"/>
      <c r="W7" s="80"/>
      <c r="X7" s="81"/>
      <c r="Y7" s="79"/>
    </row>
    <row r="8" spans="1:25" s="48" customFormat="1" ht="13.8" x14ac:dyDescent="0.3">
      <c r="A8" s="57"/>
      <c r="E8" s="50"/>
      <c r="F8" s="51"/>
      <c r="H8" s="58"/>
      <c r="I8" s="50"/>
      <c r="J8" s="59"/>
      <c r="K8" s="60"/>
      <c r="L8" s="61"/>
      <c r="M8" s="78"/>
      <c r="N8" s="78"/>
      <c r="O8" s="78"/>
      <c r="P8" s="78"/>
      <c r="Q8" s="82"/>
      <c r="R8" s="83"/>
      <c r="S8" s="83"/>
      <c r="T8" s="79"/>
      <c r="U8" s="79"/>
      <c r="V8" s="79"/>
      <c r="W8" s="79"/>
      <c r="X8" s="79"/>
      <c r="Y8" s="79"/>
    </row>
    <row r="9" spans="1:25" s="48" customFormat="1" ht="13.8" x14ac:dyDescent="0.3">
      <c r="E9" s="50"/>
      <c r="F9" s="58"/>
      <c r="H9" s="58"/>
      <c r="I9" s="50"/>
      <c r="J9" s="60"/>
      <c r="K9" s="60"/>
      <c r="L9" s="61"/>
      <c r="M9" s="78"/>
      <c r="N9" s="78"/>
      <c r="O9" s="78"/>
      <c r="P9" s="78"/>
      <c r="Q9" s="82"/>
      <c r="R9" s="83"/>
      <c r="S9" s="83"/>
      <c r="T9" s="79"/>
      <c r="U9" s="79"/>
      <c r="V9" s="79"/>
      <c r="W9" s="79"/>
      <c r="X9" s="79"/>
      <c r="Y9" s="79"/>
    </row>
    <row r="10" spans="1:25" s="48" customFormat="1" ht="13.8" x14ac:dyDescent="0.3">
      <c r="E10" s="50"/>
      <c r="F10" s="58"/>
      <c r="H10" s="58"/>
      <c r="I10" s="50"/>
      <c r="J10" s="51"/>
      <c r="K10" s="58"/>
      <c r="L10" s="61"/>
      <c r="M10" s="78"/>
      <c r="N10" s="78"/>
      <c r="O10" s="78"/>
      <c r="P10" s="78"/>
      <c r="Q10" s="82"/>
      <c r="R10" s="83"/>
      <c r="S10" s="83"/>
      <c r="T10" s="79"/>
      <c r="U10" s="79"/>
      <c r="V10" s="79"/>
      <c r="W10" s="79"/>
      <c r="X10" s="79"/>
      <c r="Y10" s="79"/>
    </row>
    <row r="11" spans="1:25" s="48" customFormat="1" ht="13.8" x14ac:dyDescent="0.3">
      <c r="E11" s="50"/>
      <c r="F11" s="58"/>
      <c r="I11" s="62"/>
      <c r="J11" s="51"/>
      <c r="M11" s="78"/>
      <c r="N11" s="78"/>
      <c r="O11" s="78"/>
      <c r="P11" s="78"/>
      <c r="Q11" s="78"/>
      <c r="R11" s="78"/>
      <c r="S11" s="78"/>
      <c r="T11" s="79"/>
      <c r="U11" s="79"/>
      <c r="V11" s="79"/>
      <c r="W11" s="79"/>
      <c r="X11" s="79"/>
      <c r="Y11" s="79"/>
    </row>
    <row r="12" spans="1:25" x14ac:dyDescent="0.3">
      <c r="C12" s="64" t="str">
        <f>G4</f>
        <v>IMPORTANT INFORMATION</v>
      </c>
      <c r="M12" s="78"/>
      <c r="N12" s="78"/>
      <c r="O12" s="78"/>
      <c r="P12" s="78"/>
      <c r="Q12" s="84"/>
      <c r="R12" s="84"/>
      <c r="S12" s="84"/>
    </row>
    <row r="13" spans="1:25" s="48" customFormat="1" ht="13.8" x14ac:dyDescent="0.3">
      <c r="M13" s="78"/>
      <c r="N13" s="78"/>
      <c r="O13" s="78"/>
      <c r="P13" s="78"/>
      <c r="Q13" s="78"/>
      <c r="R13" s="78"/>
      <c r="S13" s="78"/>
      <c r="T13" s="79"/>
      <c r="U13" s="79"/>
      <c r="V13" s="79"/>
      <c r="W13" s="79"/>
      <c r="X13" s="79"/>
      <c r="Y13" s="79"/>
    </row>
    <row r="14" spans="1:25" s="48" customFormat="1" ht="13.8" x14ac:dyDescent="0.3">
      <c r="B14" s="65" t="s">
        <v>64</v>
      </c>
      <c r="M14" s="78"/>
      <c r="N14" s="78"/>
      <c r="O14" s="78"/>
      <c r="P14" s="78"/>
      <c r="Q14" s="78"/>
      <c r="R14" s="78"/>
      <c r="S14" s="78"/>
      <c r="T14" s="79"/>
      <c r="U14" s="79"/>
      <c r="V14" s="79"/>
      <c r="W14" s="79"/>
      <c r="X14" s="79"/>
      <c r="Y14" s="79"/>
    </row>
    <row r="15" spans="1:25" s="48" customFormat="1" ht="13.8" x14ac:dyDescent="0.3">
      <c r="A15" s="66"/>
      <c r="K15" s="66"/>
      <c r="M15" s="82"/>
      <c r="N15" s="82"/>
      <c r="O15" s="82"/>
      <c r="P15" s="82"/>
      <c r="Q15" s="82"/>
      <c r="R15" s="83"/>
      <c r="S15" s="83"/>
      <c r="T15" s="79"/>
      <c r="U15" s="79"/>
      <c r="V15" s="79"/>
      <c r="W15" s="79"/>
      <c r="X15" s="79"/>
      <c r="Y15" s="79"/>
    </row>
    <row r="16" spans="1:25" s="48" customFormat="1" ht="12.75" customHeight="1" x14ac:dyDescent="0.3">
      <c r="B16" s="109" t="s">
        <v>95</v>
      </c>
      <c r="C16" s="109"/>
      <c r="D16" s="109"/>
      <c r="E16" s="109"/>
      <c r="F16" s="109"/>
      <c r="G16" s="109"/>
      <c r="H16" s="109"/>
      <c r="I16" s="109"/>
      <c r="J16" s="109"/>
      <c r="M16" s="82"/>
      <c r="N16" s="82"/>
      <c r="O16" s="82"/>
      <c r="P16" s="82"/>
      <c r="Q16" s="82"/>
      <c r="R16" s="83"/>
      <c r="S16" s="83"/>
      <c r="T16" s="79"/>
      <c r="U16" s="79"/>
      <c r="V16" s="79"/>
      <c r="W16" s="79"/>
      <c r="X16" s="79"/>
      <c r="Y16" s="79"/>
    </row>
    <row r="17" spans="1:25" s="48" customFormat="1" ht="13.8" x14ac:dyDescent="0.3">
      <c r="B17" s="109"/>
      <c r="C17" s="109"/>
      <c r="D17" s="109"/>
      <c r="E17" s="109"/>
      <c r="F17" s="109"/>
      <c r="G17" s="109"/>
      <c r="H17" s="109"/>
      <c r="I17" s="109"/>
      <c r="J17" s="109"/>
      <c r="M17" s="82"/>
      <c r="N17" s="82"/>
      <c r="O17" s="82"/>
      <c r="P17" s="82"/>
      <c r="Q17" s="82"/>
      <c r="R17" s="83"/>
      <c r="S17" s="83"/>
      <c r="T17" s="79"/>
      <c r="U17" s="79"/>
      <c r="V17" s="79"/>
      <c r="W17" s="79"/>
      <c r="X17" s="79"/>
      <c r="Y17" s="79"/>
    </row>
    <row r="18" spans="1:25" s="48" customFormat="1" ht="13.8" x14ac:dyDescent="0.3">
      <c r="B18" s="109"/>
      <c r="C18" s="109"/>
      <c r="D18" s="109"/>
      <c r="E18" s="109"/>
      <c r="F18" s="109"/>
      <c r="G18" s="109"/>
      <c r="H18" s="109"/>
      <c r="I18" s="109"/>
      <c r="J18" s="109"/>
      <c r="M18" s="82"/>
      <c r="N18" s="82"/>
      <c r="O18" s="82"/>
      <c r="P18" s="82"/>
      <c r="Q18" s="82"/>
      <c r="R18" s="83"/>
      <c r="S18" s="83"/>
      <c r="T18" s="79"/>
      <c r="U18" s="79"/>
      <c r="V18" s="79"/>
      <c r="W18" s="79"/>
      <c r="X18" s="79"/>
      <c r="Y18" s="79"/>
    </row>
    <row r="19" spans="1:25" s="48" customFormat="1" ht="13.8" x14ac:dyDescent="0.3">
      <c r="B19" s="109"/>
      <c r="C19" s="109"/>
      <c r="D19" s="109"/>
      <c r="E19" s="109"/>
      <c r="F19" s="109"/>
      <c r="G19" s="109"/>
      <c r="H19" s="109"/>
      <c r="I19" s="109"/>
      <c r="J19" s="109"/>
      <c r="M19" s="82"/>
      <c r="N19" s="82"/>
      <c r="O19" s="82"/>
      <c r="P19" s="82"/>
      <c r="Q19" s="82"/>
      <c r="R19" s="83"/>
      <c r="S19" s="83"/>
      <c r="T19" s="79"/>
      <c r="U19" s="79"/>
      <c r="V19" s="79"/>
      <c r="W19" s="79"/>
      <c r="X19" s="79"/>
      <c r="Y19" s="79"/>
    </row>
    <row r="20" spans="1:25" s="48" customFormat="1" ht="12.75" customHeight="1" x14ac:dyDescent="0.3">
      <c r="A20" s="66"/>
      <c r="B20" s="67" t="s">
        <v>96</v>
      </c>
      <c r="C20" s="66"/>
      <c r="D20" s="66"/>
      <c r="E20" s="66"/>
      <c r="F20" s="66"/>
      <c r="G20" s="66"/>
      <c r="H20" s="66"/>
      <c r="I20" s="66"/>
      <c r="J20" s="66"/>
      <c r="K20" s="66"/>
      <c r="M20" s="82"/>
      <c r="N20" s="82"/>
      <c r="O20" s="82"/>
      <c r="P20" s="82"/>
      <c r="Q20" s="82"/>
      <c r="R20" s="83"/>
      <c r="S20" s="83"/>
      <c r="T20" s="79"/>
      <c r="U20" s="79"/>
      <c r="V20" s="79"/>
      <c r="W20" s="79"/>
      <c r="X20" s="79"/>
      <c r="Y20" s="79"/>
    </row>
    <row r="21" spans="1:25" s="48" customFormat="1" ht="13.8" x14ac:dyDescent="0.3">
      <c r="A21" s="66"/>
      <c r="B21" s="67"/>
      <c r="C21" s="66"/>
      <c r="D21" s="66"/>
      <c r="E21" s="66"/>
      <c r="F21" s="66"/>
      <c r="G21" s="66"/>
      <c r="H21" s="66"/>
      <c r="I21" s="66"/>
      <c r="J21" s="66"/>
      <c r="K21" s="66"/>
      <c r="M21" s="82"/>
      <c r="N21" s="82"/>
      <c r="O21" s="82"/>
      <c r="P21" s="82"/>
      <c r="Q21" s="82"/>
      <c r="R21" s="83"/>
      <c r="S21" s="83"/>
      <c r="T21" s="79"/>
      <c r="U21" s="79"/>
      <c r="V21" s="79"/>
      <c r="W21" s="79"/>
      <c r="X21" s="79"/>
      <c r="Y21" s="79"/>
    </row>
    <row r="22" spans="1:25" s="48" customFormat="1" ht="12.75" customHeight="1" x14ac:dyDescent="0.3">
      <c r="A22" s="66"/>
      <c r="B22" s="109" t="s">
        <v>97</v>
      </c>
      <c r="C22" s="109"/>
      <c r="D22" s="109"/>
      <c r="E22" s="109"/>
      <c r="F22" s="109"/>
      <c r="G22" s="109"/>
      <c r="H22" s="109"/>
      <c r="I22" s="109"/>
      <c r="J22" s="109"/>
      <c r="K22" s="66"/>
      <c r="M22" s="82"/>
      <c r="N22" s="82"/>
      <c r="O22" s="82"/>
      <c r="P22" s="82"/>
      <c r="Q22" s="82"/>
      <c r="R22" s="83"/>
      <c r="S22" s="83"/>
      <c r="T22" s="79"/>
      <c r="U22" s="79"/>
      <c r="V22" s="79"/>
      <c r="W22" s="79"/>
      <c r="X22" s="79"/>
      <c r="Y22" s="79"/>
    </row>
    <row r="23" spans="1:25" s="48" customFormat="1" ht="13.8" x14ac:dyDescent="0.3">
      <c r="A23" s="66"/>
      <c r="B23" s="109"/>
      <c r="C23" s="109"/>
      <c r="D23" s="109"/>
      <c r="E23" s="109"/>
      <c r="F23" s="109"/>
      <c r="G23" s="109"/>
      <c r="H23" s="109"/>
      <c r="I23" s="109"/>
      <c r="J23" s="109"/>
      <c r="K23" s="66"/>
      <c r="M23" s="82"/>
      <c r="N23" s="82"/>
      <c r="O23" s="82"/>
      <c r="P23" s="82"/>
      <c r="Q23" s="82"/>
      <c r="R23" s="83"/>
      <c r="S23" s="86"/>
      <c r="T23" s="79"/>
      <c r="U23" s="79"/>
      <c r="V23" s="79"/>
      <c r="W23" s="79"/>
      <c r="X23" s="79"/>
      <c r="Y23" s="79"/>
    </row>
    <row r="24" spans="1:25" s="48" customFormat="1" ht="13.8" x14ac:dyDescent="0.3">
      <c r="A24" s="66"/>
      <c r="B24" s="109"/>
      <c r="C24" s="109"/>
      <c r="D24" s="109"/>
      <c r="E24" s="109"/>
      <c r="F24" s="109"/>
      <c r="G24" s="109"/>
      <c r="H24" s="109"/>
      <c r="I24" s="109"/>
      <c r="J24" s="109"/>
      <c r="K24" s="66"/>
      <c r="M24" s="82"/>
      <c r="N24" s="82"/>
      <c r="O24" s="82"/>
      <c r="P24" s="82"/>
      <c r="Q24" s="82"/>
      <c r="R24" s="83"/>
      <c r="S24" s="86"/>
      <c r="T24" s="79"/>
      <c r="U24" s="79"/>
      <c r="V24" s="79"/>
      <c r="W24" s="79"/>
      <c r="X24" s="79"/>
      <c r="Y24" s="79"/>
    </row>
    <row r="25" spans="1:25" s="48" customFormat="1" ht="12.75" customHeight="1" x14ac:dyDescent="0.3">
      <c r="A25" s="66"/>
      <c r="B25" s="92"/>
      <c r="C25" s="92"/>
      <c r="D25" s="92"/>
      <c r="E25" s="92"/>
      <c r="F25" s="93" t="s">
        <v>107</v>
      </c>
      <c r="G25" s="92"/>
      <c r="H25" s="92"/>
      <c r="I25" s="92"/>
      <c r="J25" s="92"/>
      <c r="K25" s="66"/>
      <c r="M25" s="82"/>
      <c r="N25" s="82"/>
      <c r="O25" s="82"/>
      <c r="P25" s="82"/>
      <c r="Q25" s="82"/>
      <c r="R25" s="83"/>
      <c r="S25" s="83"/>
      <c r="T25" s="79"/>
      <c r="U25" s="79"/>
      <c r="V25" s="79"/>
      <c r="W25" s="79"/>
      <c r="X25" s="79"/>
      <c r="Y25" s="79"/>
    </row>
    <row r="26" spans="1:25" s="48" customFormat="1" ht="12.75" customHeight="1" x14ac:dyDescent="0.3">
      <c r="A26" s="66"/>
      <c r="B26" s="109" t="s">
        <v>98</v>
      </c>
      <c r="C26" s="109"/>
      <c r="D26" s="109"/>
      <c r="E26" s="109"/>
      <c r="F26" s="109"/>
      <c r="G26" s="109"/>
      <c r="H26" s="109"/>
      <c r="I26" s="109"/>
      <c r="J26" s="109"/>
      <c r="K26" s="66"/>
      <c r="M26" s="82"/>
      <c r="N26" s="82"/>
      <c r="O26" s="82"/>
      <c r="P26" s="82"/>
      <c r="Q26" s="82"/>
      <c r="R26" s="83"/>
      <c r="S26" s="83"/>
      <c r="T26" s="79"/>
      <c r="U26" s="79"/>
      <c r="V26" s="79"/>
      <c r="W26" s="79"/>
      <c r="X26" s="79"/>
      <c r="Y26" s="79"/>
    </row>
    <row r="27" spans="1:25" s="48" customFormat="1" ht="13.8" x14ac:dyDescent="0.3">
      <c r="A27" s="66"/>
      <c r="B27" s="109"/>
      <c r="C27" s="109"/>
      <c r="D27" s="109"/>
      <c r="E27" s="109"/>
      <c r="F27" s="109"/>
      <c r="G27" s="109"/>
      <c r="H27" s="109"/>
      <c r="I27" s="109"/>
      <c r="J27" s="109"/>
      <c r="K27" s="66"/>
      <c r="M27" s="82"/>
      <c r="N27" s="82"/>
      <c r="O27" s="82"/>
      <c r="P27" s="82"/>
      <c r="Q27" s="82"/>
      <c r="R27" s="83"/>
      <c r="S27" s="83"/>
      <c r="T27" s="79"/>
      <c r="U27" s="79"/>
      <c r="V27" s="79"/>
      <c r="W27" s="79"/>
      <c r="X27" s="79"/>
      <c r="Y27" s="79"/>
    </row>
    <row r="28" spans="1:25" s="48" customFormat="1" ht="13.8" x14ac:dyDescent="0.3">
      <c r="A28" s="66"/>
      <c r="B28" s="92"/>
      <c r="C28" s="92"/>
      <c r="D28" s="92"/>
      <c r="E28" s="92"/>
      <c r="F28" s="92"/>
      <c r="G28" s="92"/>
      <c r="H28" s="92"/>
      <c r="I28" s="92"/>
      <c r="J28" s="92"/>
      <c r="K28" s="66"/>
      <c r="M28" s="82"/>
      <c r="N28" s="82"/>
      <c r="O28" s="82"/>
      <c r="P28" s="82"/>
      <c r="Q28" s="82"/>
      <c r="R28" s="83"/>
      <c r="S28" s="83"/>
      <c r="T28" s="79"/>
      <c r="U28" s="79"/>
      <c r="V28" s="79"/>
      <c r="W28" s="79"/>
      <c r="X28" s="79"/>
      <c r="Y28" s="79"/>
    </row>
    <row r="29" spans="1:25" s="48" customFormat="1" ht="12.75" customHeight="1" x14ac:dyDescent="0.3">
      <c r="A29" s="66"/>
      <c r="B29" s="109" t="s">
        <v>99</v>
      </c>
      <c r="C29" s="109"/>
      <c r="D29" s="109"/>
      <c r="E29" s="109"/>
      <c r="F29" s="109"/>
      <c r="G29" s="109"/>
      <c r="H29" s="109"/>
      <c r="I29" s="109"/>
      <c r="J29" s="109"/>
      <c r="K29" s="66"/>
      <c r="M29" s="82"/>
      <c r="N29" s="82"/>
      <c r="O29" s="82"/>
      <c r="P29" s="82"/>
      <c r="Q29" s="82"/>
      <c r="R29" s="83"/>
      <c r="S29" s="83"/>
      <c r="T29" s="79"/>
      <c r="U29" s="79"/>
      <c r="V29" s="79"/>
      <c r="W29" s="79"/>
      <c r="X29" s="79"/>
      <c r="Y29" s="79"/>
    </row>
    <row r="30" spans="1:25" s="48" customFormat="1" ht="12.75" customHeight="1" x14ac:dyDescent="0.3">
      <c r="A30" s="66"/>
      <c r="B30" s="109"/>
      <c r="C30" s="109"/>
      <c r="D30" s="109"/>
      <c r="E30" s="109"/>
      <c r="F30" s="109"/>
      <c r="G30" s="109"/>
      <c r="H30" s="109"/>
      <c r="I30" s="109"/>
      <c r="J30" s="109"/>
      <c r="K30" s="66"/>
      <c r="M30" s="82"/>
      <c r="N30" s="82"/>
      <c r="O30" s="82"/>
      <c r="P30" s="82"/>
      <c r="Q30" s="82"/>
      <c r="R30" s="83"/>
      <c r="S30" s="83"/>
      <c r="T30" s="79"/>
      <c r="U30" s="79"/>
      <c r="V30" s="79"/>
      <c r="W30" s="79"/>
      <c r="X30" s="79"/>
      <c r="Y30" s="79"/>
    </row>
    <row r="31" spans="1:25" s="48" customFormat="1" ht="12.75" customHeight="1" x14ac:dyDescent="0.3">
      <c r="A31" s="66"/>
      <c r="B31" s="109"/>
      <c r="C31" s="109"/>
      <c r="D31" s="109"/>
      <c r="E31" s="109"/>
      <c r="F31" s="109"/>
      <c r="G31" s="109"/>
      <c r="H31" s="109"/>
      <c r="I31" s="109"/>
      <c r="J31" s="109"/>
      <c r="K31" s="66"/>
      <c r="M31" s="82"/>
      <c r="N31" s="82"/>
      <c r="O31" s="82"/>
      <c r="P31" s="82"/>
      <c r="Q31" s="82"/>
      <c r="R31" s="83"/>
      <c r="S31" s="83"/>
      <c r="T31" s="79"/>
      <c r="U31" s="79"/>
      <c r="V31" s="79"/>
      <c r="W31" s="79"/>
      <c r="X31" s="79"/>
      <c r="Y31" s="79"/>
    </row>
    <row r="32" spans="1:25" s="48" customFormat="1" ht="12.75" customHeight="1" x14ac:dyDescent="0.3">
      <c r="A32" s="66"/>
      <c r="B32" s="109"/>
      <c r="C32" s="109"/>
      <c r="D32" s="109"/>
      <c r="E32" s="109"/>
      <c r="F32" s="109"/>
      <c r="G32" s="109"/>
      <c r="H32" s="109"/>
      <c r="I32" s="109"/>
      <c r="J32" s="109"/>
      <c r="K32" s="66"/>
      <c r="M32" s="82"/>
      <c r="N32" s="82"/>
      <c r="O32" s="82"/>
      <c r="P32" s="82"/>
      <c r="Q32" s="82"/>
      <c r="R32" s="83"/>
      <c r="S32" s="83"/>
      <c r="T32" s="79"/>
      <c r="U32" s="79"/>
      <c r="V32" s="79"/>
      <c r="W32" s="79"/>
      <c r="X32" s="79"/>
      <c r="Y32" s="79"/>
    </row>
    <row r="33" spans="1:25" s="48" customFormat="1" ht="12.75" customHeight="1" x14ac:dyDescent="0.3">
      <c r="A33" s="66"/>
      <c r="B33" s="109"/>
      <c r="C33" s="109"/>
      <c r="D33" s="109"/>
      <c r="E33" s="109"/>
      <c r="F33" s="109"/>
      <c r="G33" s="109"/>
      <c r="H33" s="109"/>
      <c r="I33" s="109"/>
      <c r="J33" s="109"/>
      <c r="K33" s="66"/>
      <c r="M33" s="82"/>
      <c r="N33" s="82"/>
      <c r="O33" s="82"/>
      <c r="P33" s="82"/>
      <c r="Q33" s="82"/>
      <c r="R33" s="83"/>
      <c r="S33" s="86"/>
      <c r="T33" s="79"/>
      <c r="U33" s="79"/>
      <c r="V33" s="79"/>
      <c r="W33" s="79"/>
      <c r="X33" s="79"/>
      <c r="Y33" s="79"/>
    </row>
    <row r="34" spans="1:25" s="48" customFormat="1" ht="13.8" x14ac:dyDescent="0.3">
      <c r="A34" s="66"/>
      <c r="B34" s="92"/>
      <c r="C34" s="92"/>
      <c r="D34" s="111" t="s">
        <v>65</v>
      </c>
      <c r="E34" s="111"/>
      <c r="F34" s="111"/>
      <c r="G34" s="111"/>
      <c r="H34" s="111"/>
      <c r="I34" s="92"/>
      <c r="J34" s="92"/>
      <c r="K34" s="66"/>
      <c r="M34" s="82"/>
      <c r="N34" s="82"/>
      <c r="O34" s="82"/>
      <c r="P34" s="82"/>
      <c r="Q34" s="82"/>
      <c r="R34" s="83"/>
      <c r="S34" s="86"/>
      <c r="T34" s="79"/>
      <c r="U34" s="79"/>
      <c r="V34" s="79"/>
      <c r="W34" s="79"/>
      <c r="X34" s="79"/>
      <c r="Y34" s="79"/>
    </row>
    <row r="35" spans="1:25" s="48" customFormat="1" ht="12.75" customHeight="1" x14ac:dyDescent="0.3">
      <c r="A35" s="66"/>
      <c r="B35" s="66"/>
      <c r="C35" s="66"/>
      <c r="I35" s="66"/>
      <c r="J35" s="66"/>
      <c r="K35" s="66"/>
      <c r="M35" s="82"/>
      <c r="N35" s="82"/>
      <c r="O35" s="82"/>
      <c r="P35" s="82"/>
      <c r="Q35" s="82"/>
      <c r="R35" s="83"/>
      <c r="S35" s="83"/>
      <c r="T35" s="79"/>
      <c r="U35" s="79"/>
      <c r="V35" s="79"/>
      <c r="W35" s="79"/>
      <c r="X35" s="79"/>
      <c r="Y35" s="79"/>
    </row>
    <row r="36" spans="1:25" s="48" customFormat="1" ht="12.75" customHeight="1" x14ac:dyDescent="0.3">
      <c r="A36" s="66"/>
      <c r="B36" s="67" t="s">
        <v>66</v>
      </c>
      <c r="C36" s="66"/>
      <c r="D36" s="66"/>
      <c r="E36" s="66"/>
      <c r="F36" s="94"/>
      <c r="G36" s="66"/>
      <c r="H36" s="66"/>
      <c r="I36" s="66"/>
      <c r="J36" s="66"/>
      <c r="K36" s="66"/>
      <c r="M36" s="82"/>
      <c r="N36" s="82"/>
      <c r="O36" s="82"/>
      <c r="P36" s="82"/>
      <c r="Q36" s="82"/>
      <c r="R36" s="83"/>
      <c r="S36" s="83"/>
      <c r="T36" s="79"/>
      <c r="U36" s="79"/>
      <c r="V36" s="79"/>
      <c r="W36" s="79"/>
      <c r="X36" s="79"/>
      <c r="Y36" s="79"/>
    </row>
    <row r="37" spans="1:25" s="48" customFormat="1" ht="13.8" x14ac:dyDescent="0.3">
      <c r="A37" s="66"/>
      <c r="B37" s="67"/>
      <c r="C37" s="66"/>
      <c r="D37" s="66"/>
      <c r="E37" s="66"/>
      <c r="F37" s="94"/>
      <c r="G37" s="66"/>
      <c r="H37" s="66"/>
      <c r="I37" s="66"/>
      <c r="J37" s="66"/>
      <c r="K37" s="66"/>
      <c r="M37" s="82"/>
      <c r="N37" s="82"/>
      <c r="O37" s="82"/>
      <c r="P37" s="82"/>
      <c r="Q37" s="82"/>
      <c r="R37" s="83"/>
      <c r="S37" s="83"/>
      <c r="T37" s="79"/>
      <c r="U37" s="79"/>
      <c r="V37" s="79"/>
      <c r="W37" s="79"/>
      <c r="X37" s="79"/>
      <c r="Y37" s="79"/>
    </row>
    <row r="38" spans="1:25" s="48" customFormat="1" ht="12.75" customHeight="1" x14ac:dyDescent="0.3">
      <c r="A38" s="66"/>
      <c r="B38" s="109" t="s">
        <v>100</v>
      </c>
      <c r="C38" s="109"/>
      <c r="D38" s="109"/>
      <c r="E38" s="109"/>
      <c r="F38" s="109"/>
      <c r="G38" s="109"/>
      <c r="H38" s="109"/>
      <c r="I38" s="109"/>
      <c r="J38" s="109"/>
      <c r="K38" s="66"/>
      <c r="M38" s="82"/>
      <c r="N38" s="82"/>
      <c r="O38" s="82"/>
      <c r="P38" s="82"/>
      <c r="Q38" s="82"/>
      <c r="R38" s="83"/>
      <c r="S38" s="83"/>
      <c r="T38" s="79"/>
      <c r="U38" s="79"/>
      <c r="V38" s="79"/>
      <c r="W38" s="79"/>
      <c r="X38" s="79"/>
      <c r="Y38" s="79"/>
    </row>
    <row r="39" spans="1:25" s="48" customFormat="1" ht="13.8" x14ac:dyDescent="0.3">
      <c r="A39" s="66"/>
      <c r="B39" s="109"/>
      <c r="C39" s="109"/>
      <c r="D39" s="109"/>
      <c r="E39" s="109"/>
      <c r="F39" s="109"/>
      <c r="G39" s="109"/>
      <c r="H39" s="109"/>
      <c r="I39" s="109"/>
      <c r="J39" s="109"/>
      <c r="K39" s="66"/>
      <c r="M39" s="82"/>
      <c r="N39" s="82"/>
      <c r="O39" s="82"/>
      <c r="P39" s="82"/>
      <c r="Q39" s="82"/>
      <c r="R39" s="83"/>
      <c r="S39" s="83"/>
      <c r="T39" s="79"/>
      <c r="U39" s="79"/>
      <c r="V39" s="79"/>
      <c r="W39" s="79"/>
      <c r="X39" s="79"/>
      <c r="Y39" s="79"/>
    </row>
    <row r="40" spans="1:25" s="48" customFormat="1" ht="13.8" x14ac:dyDescent="0.3">
      <c r="A40" s="66"/>
      <c r="B40" s="92"/>
      <c r="C40" s="92"/>
      <c r="D40" s="92"/>
      <c r="E40" s="92"/>
      <c r="F40" s="92"/>
      <c r="G40" s="92"/>
      <c r="H40" s="92"/>
      <c r="I40" s="92"/>
      <c r="J40" s="92"/>
      <c r="K40" s="66"/>
      <c r="M40" s="82"/>
      <c r="N40" s="82"/>
      <c r="O40" s="82"/>
      <c r="P40" s="82"/>
      <c r="Q40" s="82"/>
      <c r="R40" s="83"/>
      <c r="S40" s="83"/>
      <c r="T40" s="79"/>
      <c r="U40" s="79"/>
      <c r="V40" s="79"/>
      <c r="W40" s="79"/>
      <c r="X40" s="79"/>
      <c r="Y40" s="79"/>
    </row>
    <row r="41" spans="1:25" s="48" customFormat="1" ht="12.75" customHeight="1" x14ac:dyDescent="0.3">
      <c r="A41" s="66"/>
      <c r="B41" s="109" t="s">
        <v>101</v>
      </c>
      <c r="C41" s="109"/>
      <c r="D41" s="109"/>
      <c r="E41" s="109"/>
      <c r="F41" s="109"/>
      <c r="G41" s="109"/>
      <c r="H41" s="109"/>
      <c r="I41" s="109"/>
      <c r="J41" s="109"/>
      <c r="K41" s="66"/>
      <c r="M41" s="82"/>
      <c r="N41" s="82"/>
      <c r="O41" s="82"/>
      <c r="P41" s="82"/>
      <c r="Q41" s="82"/>
      <c r="R41" s="83"/>
      <c r="S41" s="83"/>
      <c r="T41" s="79"/>
      <c r="U41" s="79"/>
      <c r="V41" s="79"/>
      <c r="W41" s="79"/>
      <c r="X41" s="79"/>
      <c r="Y41" s="79"/>
    </row>
    <row r="42" spans="1:25" s="48" customFormat="1" ht="13.8" x14ac:dyDescent="0.3">
      <c r="A42" s="66"/>
      <c r="B42" s="109"/>
      <c r="C42" s="109"/>
      <c r="D42" s="109"/>
      <c r="E42" s="109"/>
      <c r="F42" s="109"/>
      <c r="G42" s="109"/>
      <c r="H42" s="109"/>
      <c r="I42" s="109"/>
      <c r="J42" s="109"/>
      <c r="K42" s="66"/>
      <c r="M42" s="82"/>
      <c r="N42" s="82"/>
      <c r="O42" s="82"/>
      <c r="P42" s="82"/>
      <c r="Q42" s="82"/>
      <c r="R42" s="83"/>
      <c r="S42" s="83"/>
      <c r="T42" s="79"/>
      <c r="U42" s="79"/>
      <c r="V42" s="79"/>
      <c r="W42" s="79"/>
      <c r="X42" s="79"/>
      <c r="Y42" s="79"/>
    </row>
    <row r="43" spans="1:25" s="48" customFormat="1" ht="13.8" x14ac:dyDescent="0.3">
      <c r="A43" s="66"/>
      <c r="B43" s="109"/>
      <c r="C43" s="109"/>
      <c r="D43" s="109"/>
      <c r="E43" s="109"/>
      <c r="F43" s="109"/>
      <c r="G43" s="109"/>
      <c r="H43" s="109"/>
      <c r="I43" s="109"/>
      <c r="J43" s="109"/>
      <c r="K43" s="66"/>
      <c r="M43" s="82"/>
      <c r="N43" s="82"/>
      <c r="O43" s="82"/>
      <c r="P43" s="82"/>
      <c r="Q43" s="82"/>
      <c r="R43" s="83"/>
      <c r="S43" s="83"/>
      <c r="T43" s="79"/>
      <c r="U43" s="79"/>
      <c r="V43" s="79"/>
      <c r="W43" s="79"/>
      <c r="X43" s="79"/>
      <c r="Y43" s="79"/>
    </row>
    <row r="44" spans="1:25" s="48" customFormat="1" ht="12.75" customHeight="1" x14ac:dyDescent="0.3">
      <c r="A44" s="66"/>
      <c r="B44" s="92"/>
      <c r="C44" s="92"/>
      <c r="D44" s="92"/>
      <c r="E44" s="92"/>
      <c r="F44" s="92"/>
      <c r="G44" s="92"/>
      <c r="H44" s="92"/>
      <c r="I44" s="92"/>
      <c r="J44" s="92"/>
      <c r="K44" s="66"/>
      <c r="M44" s="82"/>
      <c r="N44" s="82"/>
      <c r="O44" s="82"/>
      <c r="P44" s="82"/>
      <c r="Q44" s="82"/>
      <c r="R44" s="83"/>
      <c r="S44" s="83"/>
      <c r="T44" s="79"/>
      <c r="U44" s="79"/>
      <c r="V44" s="79"/>
      <c r="W44" s="79"/>
      <c r="X44" s="79"/>
      <c r="Y44" s="79"/>
    </row>
    <row r="45" spans="1:25" s="48" customFormat="1" ht="12.75" customHeight="1" x14ac:dyDescent="0.3">
      <c r="A45" s="66"/>
      <c r="B45" s="109" t="s">
        <v>69</v>
      </c>
      <c r="C45" s="109"/>
      <c r="D45" s="109"/>
      <c r="E45" s="109"/>
      <c r="F45" s="109"/>
      <c r="G45" s="109"/>
      <c r="H45" s="109"/>
      <c r="I45" s="109"/>
      <c r="J45" s="109"/>
      <c r="K45" s="66"/>
      <c r="M45" s="82"/>
      <c r="N45" s="82"/>
      <c r="O45" s="82"/>
      <c r="P45" s="82"/>
      <c r="Q45" s="82"/>
      <c r="R45" s="83"/>
      <c r="S45" s="83"/>
      <c r="T45" s="79"/>
      <c r="U45" s="79"/>
      <c r="V45" s="79"/>
      <c r="W45" s="79"/>
      <c r="X45" s="79"/>
      <c r="Y45" s="79"/>
    </row>
    <row r="46" spans="1:25" s="48" customFormat="1" ht="13.8" x14ac:dyDescent="0.3">
      <c r="A46" s="66"/>
      <c r="B46" s="109"/>
      <c r="C46" s="109"/>
      <c r="D46" s="109"/>
      <c r="E46" s="109"/>
      <c r="F46" s="109"/>
      <c r="G46" s="109"/>
      <c r="H46" s="109"/>
      <c r="I46" s="109"/>
      <c r="J46" s="109"/>
      <c r="K46" s="66"/>
      <c r="M46" s="82"/>
      <c r="N46" s="82"/>
      <c r="O46" s="82"/>
      <c r="P46" s="82"/>
      <c r="Q46" s="82"/>
      <c r="R46" s="83"/>
      <c r="S46" s="83"/>
      <c r="T46" s="79"/>
      <c r="U46" s="79"/>
      <c r="V46" s="79"/>
      <c r="W46" s="79"/>
      <c r="X46" s="79"/>
      <c r="Y46" s="79"/>
    </row>
    <row r="47" spans="1:25" s="48" customFormat="1" ht="13.8" x14ac:dyDescent="0.3">
      <c r="A47" s="66"/>
      <c r="B47" s="109"/>
      <c r="C47" s="109"/>
      <c r="D47" s="109"/>
      <c r="E47" s="109"/>
      <c r="F47" s="109"/>
      <c r="G47" s="109"/>
      <c r="H47" s="109"/>
      <c r="I47" s="109"/>
      <c r="J47" s="109"/>
      <c r="K47" s="66"/>
      <c r="M47" s="82"/>
      <c r="N47" s="82"/>
      <c r="O47" s="82"/>
      <c r="P47" s="82"/>
      <c r="Q47" s="82"/>
      <c r="R47" s="83"/>
      <c r="S47" s="83"/>
      <c r="T47" s="79"/>
      <c r="U47" s="79"/>
      <c r="V47" s="79"/>
      <c r="W47" s="79"/>
      <c r="X47" s="79"/>
      <c r="Y47" s="79"/>
    </row>
    <row r="48" spans="1:25" s="48" customFormat="1" ht="12.75" customHeight="1" x14ac:dyDescent="0.3">
      <c r="A48" s="66"/>
      <c r="B48" s="109"/>
      <c r="C48" s="109"/>
      <c r="D48" s="109"/>
      <c r="E48" s="109"/>
      <c r="F48" s="109"/>
      <c r="G48" s="109"/>
      <c r="H48" s="109"/>
      <c r="I48" s="109"/>
      <c r="J48" s="109"/>
      <c r="K48" s="66"/>
      <c r="M48" s="82"/>
      <c r="N48" s="82"/>
      <c r="O48" s="82"/>
      <c r="P48" s="82"/>
      <c r="Q48" s="82"/>
      <c r="R48" s="83"/>
      <c r="S48" s="83"/>
      <c r="T48" s="79"/>
      <c r="U48" s="79"/>
      <c r="V48" s="79"/>
      <c r="W48" s="79"/>
      <c r="X48" s="79"/>
      <c r="Y48" s="79"/>
    </row>
    <row r="49" spans="1:25" s="48" customFormat="1" ht="13.8" x14ac:dyDescent="0.3">
      <c r="A49" s="66"/>
      <c r="B49" s="66" t="s">
        <v>102</v>
      </c>
      <c r="C49" s="66"/>
      <c r="D49" s="66"/>
      <c r="E49" s="66"/>
      <c r="F49" s="66"/>
      <c r="G49" s="66"/>
      <c r="H49" s="66"/>
      <c r="I49" s="66"/>
      <c r="J49" s="66"/>
      <c r="K49" s="66"/>
      <c r="M49" s="82"/>
      <c r="N49" s="82"/>
      <c r="O49" s="82"/>
      <c r="P49" s="82"/>
      <c r="Q49" s="82"/>
      <c r="R49" s="83"/>
      <c r="S49" s="83"/>
      <c r="T49" s="79"/>
      <c r="U49" s="79"/>
      <c r="V49" s="79"/>
      <c r="W49" s="79"/>
      <c r="X49" s="79"/>
      <c r="Y49" s="79"/>
    </row>
    <row r="50" spans="1:25" s="48" customFormat="1" ht="13.8" x14ac:dyDescent="0.3">
      <c r="A50" s="66"/>
      <c r="B50" s="66"/>
      <c r="C50" s="66"/>
      <c r="D50" s="66"/>
      <c r="F50" s="95" t="s">
        <v>108</v>
      </c>
      <c r="G50" s="94"/>
      <c r="H50" s="66"/>
      <c r="I50" s="66"/>
      <c r="J50" s="66"/>
      <c r="K50" s="66"/>
      <c r="M50" s="82"/>
      <c r="N50" s="82"/>
      <c r="O50" s="82"/>
      <c r="P50" s="82"/>
      <c r="Q50" s="82"/>
      <c r="R50" s="83"/>
      <c r="S50" s="83"/>
      <c r="T50" s="79"/>
      <c r="U50" s="79"/>
      <c r="V50" s="79"/>
      <c r="W50" s="79"/>
      <c r="X50" s="79"/>
      <c r="Y50" s="79"/>
    </row>
    <row r="51" spans="1:25" s="48" customFormat="1" ht="13.8" x14ac:dyDescent="0.3">
      <c r="A51" s="66"/>
      <c r="B51" s="66"/>
      <c r="C51" s="66"/>
      <c r="D51" s="66"/>
      <c r="E51" s="66"/>
      <c r="F51" s="66"/>
      <c r="G51" s="66"/>
      <c r="H51" s="66"/>
      <c r="I51" s="66"/>
      <c r="J51" s="66"/>
      <c r="K51" s="66"/>
      <c r="M51" s="82"/>
      <c r="N51" s="82"/>
      <c r="O51" s="82"/>
      <c r="P51" s="82"/>
      <c r="Q51" s="82"/>
      <c r="R51" s="83"/>
      <c r="S51" s="83"/>
      <c r="T51" s="79"/>
      <c r="U51" s="79"/>
      <c r="V51" s="79"/>
      <c r="W51" s="79"/>
      <c r="X51" s="79"/>
      <c r="Y51" s="79"/>
    </row>
    <row r="52" spans="1:25" s="48" customFormat="1" ht="12.75" customHeight="1" x14ac:dyDescent="0.3">
      <c r="A52" s="66"/>
      <c r="B52" s="67" t="s">
        <v>103</v>
      </c>
      <c r="C52" s="66"/>
      <c r="D52" s="66"/>
      <c r="E52" s="66"/>
      <c r="F52" s="66"/>
      <c r="G52" s="66"/>
      <c r="H52" s="66"/>
      <c r="I52" s="66"/>
      <c r="J52" s="66"/>
      <c r="K52" s="66"/>
      <c r="M52" s="82"/>
      <c r="N52" s="82"/>
      <c r="O52" s="82"/>
      <c r="P52" s="82"/>
      <c r="Q52" s="82"/>
      <c r="R52" s="83"/>
      <c r="S52" s="83"/>
      <c r="T52" s="79"/>
      <c r="U52" s="79"/>
      <c r="V52" s="79"/>
      <c r="W52" s="79"/>
      <c r="X52" s="79"/>
      <c r="Y52" s="79"/>
    </row>
    <row r="53" spans="1:25" s="48" customFormat="1" ht="13.8" x14ac:dyDescent="0.3">
      <c r="A53" s="66"/>
      <c r="B53" s="66"/>
      <c r="C53" s="66"/>
      <c r="D53" s="66"/>
      <c r="E53" s="66"/>
      <c r="F53" s="66"/>
      <c r="G53" s="66"/>
      <c r="H53" s="66"/>
      <c r="I53" s="66"/>
      <c r="J53" s="66"/>
      <c r="K53" s="66"/>
      <c r="M53" s="82"/>
      <c r="N53" s="82"/>
      <c r="O53" s="82"/>
      <c r="P53" s="82"/>
      <c r="Q53" s="82"/>
      <c r="R53" s="83"/>
      <c r="S53" s="83"/>
      <c r="T53" s="79"/>
      <c r="U53" s="79"/>
      <c r="V53" s="79"/>
      <c r="W53" s="79"/>
      <c r="X53" s="79"/>
      <c r="Y53" s="79"/>
    </row>
    <row r="54" spans="1:25" s="48" customFormat="1" ht="12.75" customHeight="1" x14ac:dyDescent="0.3">
      <c r="A54" s="66"/>
      <c r="B54" s="110" t="s">
        <v>104</v>
      </c>
      <c r="C54" s="110"/>
      <c r="D54" s="110"/>
      <c r="E54" s="110"/>
      <c r="F54" s="110"/>
      <c r="G54" s="110"/>
      <c r="H54" s="110"/>
      <c r="I54" s="110"/>
      <c r="J54" s="110"/>
      <c r="K54" s="66"/>
      <c r="M54" s="82"/>
      <c r="N54" s="82"/>
      <c r="O54" s="82"/>
      <c r="P54" s="82"/>
      <c r="Q54" s="82"/>
      <c r="R54" s="83"/>
      <c r="S54" s="83"/>
      <c r="T54" s="79"/>
      <c r="U54" s="79"/>
      <c r="V54" s="79"/>
      <c r="W54" s="79"/>
      <c r="X54" s="79"/>
      <c r="Y54" s="79"/>
    </row>
    <row r="55" spans="1:25" s="48" customFormat="1" ht="13.8" x14ac:dyDescent="0.3">
      <c r="A55" s="66"/>
      <c r="B55" s="110"/>
      <c r="C55" s="110"/>
      <c r="D55" s="110"/>
      <c r="E55" s="110"/>
      <c r="F55" s="110"/>
      <c r="G55" s="110"/>
      <c r="H55" s="110"/>
      <c r="I55" s="110"/>
      <c r="J55" s="110"/>
      <c r="K55" s="66"/>
      <c r="M55" s="82"/>
      <c r="N55" s="82"/>
      <c r="O55" s="82"/>
      <c r="P55" s="82"/>
      <c r="Q55" s="82"/>
      <c r="R55" s="83"/>
      <c r="S55" s="83"/>
      <c r="T55" s="79"/>
      <c r="U55" s="79"/>
      <c r="V55" s="79"/>
      <c r="W55" s="79"/>
      <c r="X55" s="79"/>
      <c r="Y55" s="79"/>
    </row>
    <row r="56" spans="1:25" s="48" customFormat="1" ht="13.8" x14ac:dyDescent="0.3">
      <c r="A56" s="66"/>
      <c r="B56" s="110"/>
      <c r="C56" s="110"/>
      <c r="D56" s="110"/>
      <c r="E56" s="110"/>
      <c r="F56" s="110"/>
      <c r="G56" s="110"/>
      <c r="H56" s="110"/>
      <c r="I56" s="110"/>
      <c r="J56" s="110"/>
      <c r="K56" s="66"/>
      <c r="M56" s="82"/>
      <c r="N56" s="82"/>
      <c r="O56" s="82"/>
      <c r="P56" s="82"/>
      <c r="Q56" s="82"/>
      <c r="R56" s="83"/>
      <c r="S56" s="83"/>
      <c r="T56" s="79"/>
      <c r="U56" s="79"/>
      <c r="V56" s="79"/>
      <c r="W56" s="79"/>
      <c r="X56" s="79"/>
      <c r="Y56" s="79"/>
    </row>
    <row r="57" spans="1:25" s="48" customFormat="1" ht="13.8" x14ac:dyDescent="0.3">
      <c r="A57" s="66"/>
      <c r="B57" s="66"/>
      <c r="C57" s="66"/>
      <c r="D57" s="66"/>
      <c r="F57" s="94"/>
      <c r="G57" s="66"/>
      <c r="H57" s="66"/>
      <c r="I57" s="66"/>
      <c r="J57" s="66"/>
      <c r="K57" s="66"/>
      <c r="M57" s="82"/>
      <c r="N57" s="82"/>
      <c r="O57" s="82"/>
      <c r="P57" s="82"/>
      <c r="Q57" s="82"/>
      <c r="R57" s="83"/>
      <c r="S57" s="83"/>
      <c r="T57" s="79"/>
      <c r="U57" s="79"/>
      <c r="V57" s="79"/>
      <c r="W57" s="79"/>
      <c r="X57" s="79"/>
      <c r="Y57" s="79"/>
    </row>
    <row r="58" spans="1:25" s="48" customFormat="1" ht="13.8" x14ac:dyDescent="0.3">
      <c r="A58" s="66"/>
      <c r="B58" s="66"/>
      <c r="C58" s="66"/>
      <c r="D58" s="66"/>
      <c r="E58" s="66"/>
      <c r="F58" s="66"/>
      <c r="G58" s="66"/>
      <c r="H58" s="66"/>
      <c r="I58" s="66"/>
      <c r="J58" s="66"/>
      <c r="K58" s="66"/>
      <c r="M58" s="82"/>
      <c r="N58" s="82"/>
      <c r="O58" s="82"/>
      <c r="P58" s="82"/>
      <c r="Q58" s="82"/>
      <c r="R58" s="83"/>
      <c r="S58" s="83"/>
      <c r="T58" s="79"/>
      <c r="U58" s="79"/>
      <c r="V58" s="79"/>
      <c r="W58" s="79"/>
      <c r="X58" s="79"/>
      <c r="Y58" s="79"/>
    </row>
    <row r="59" spans="1:25" s="48" customFormat="1" ht="13.8" x14ac:dyDescent="0.3">
      <c r="K59" s="66"/>
      <c r="M59" s="82"/>
      <c r="N59" s="82"/>
      <c r="O59" s="82"/>
      <c r="P59" s="82"/>
      <c r="Q59" s="82"/>
      <c r="R59" s="83"/>
      <c r="S59" s="83"/>
      <c r="T59" s="79"/>
      <c r="U59" s="79"/>
      <c r="V59" s="79"/>
      <c r="W59" s="79"/>
      <c r="X59" s="79"/>
      <c r="Y59" s="79"/>
    </row>
    <row r="60" spans="1:25" s="48" customFormat="1" ht="13.8" x14ac:dyDescent="0.3">
      <c r="K60" s="66"/>
      <c r="M60" s="82"/>
      <c r="N60" s="82"/>
      <c r="O60" s="82"/>
      <c r="P60" s="82"/>
      <c r="Q60" s="82"/>
      <c r="R60" s="83"/>
      <c r="S60" s="83"/>
      <c r="T60" s="79"/>
      <c r="U60" s="79"/>
      <c r="V60" s="79"/>
      <c r="W60" s="79"/>
      <c r="X60" s="79"/>
      <c r="Y60" s="79"/>
    </row>
    <row r="61" spans="1:25" s="48" customFormat="1" ht="13.8" x14ac:dyDescent="0.3">
      <c r="A61" s="66"/>
      <c r="B61" s="66" t="s">
        <v>70</v>
      </c>
      <c r="C61" s="66"/>
      <c r="D61" s="66"/>
      <c r="E61" s="66"/>
      <c r="F61" s="66"/>
      <c r="G61" s="66"/>
      <c r="H61" s="66"/>
      <c r="I61" s="66"/>
      <c r="J61" s="66"/>
      <c r="K61" s="66"/>
      <c r="M61" s="82"/>
      <c r="N61" s="82"/>
      <c r="O61" s="82"/>
      <c r="P61" s="82"/>
      <c r="Q61" s="82"/>
      <c r="R61" s="83"/>
      <c r="S61" s="83"/>
      <c r="T61" s="79"/>
      <c r="U61" s="79"/>
      <c r="V61" s="79"/>
      <c r="W61" s="79"/>
      <c r="X61" s="79"/>
      <c r="Y61" s="79"/>
    </row>
    <row r="62" spans="1:25" s="48" customFormat="1" ht="13.8" x14ac:dyDescent="0.3">
      <c r="A62" s="66"/>
      <c r="C62" s="66"/>
      <c r="D62" s="66"/>
      <c r="F62" s="95" t="s">
        <v>109</v>
      </c>
      <c r="G62" s="96"/>
      <c r="H62" s="66"/>
      <c r="I62" s="66"/>
      <c r="J62" s="66"/>
      <c r="K62" s="66"/>
      <c r="M62" s="82"/>
      <c r="N62" s="82"/>
      <c r="O62" s="82"/>
      <c r="P62" s="82"/>
      <c r="Q62" s="82"/>
      <c r="R62" s="83"/>
      <c r="S62" s="83"/>
      <c r="T62" s="79"/>
      <c r="U62" s="79"/>
      <c r="V62" s="79"/>
      <c r="W62" s="79"/>
      <c r="X62" s="79"/>
      <c r="Y62" s="79"/>
    </row>
    <row r="63" spans="1:25" x14ac:dyDescent="0.3">
      <c r="A63" s="66"/>
      <c r="B63" s="66"/>
      <c r="C63" s="66"/>
      <c r="D63" s="66"/>
      <c r="E63" s="66"/>
      <c r="F63" s="66"/>
      <c r="G63" s="66"/>
      <c r="H63" s="66"/>
      <c r="I63" s="66"/>
      <c r="J63" s="66"/>
      <c r="K63" s="6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2" r:id="rId3"/>
    <hyperlink ref="F25" r:id="rId4"/>
  </hyperlinks>
  <pageMargins left="0.47244094488188981" right="0.23622047244094491" top="0.31496062992125984" bottom="0.82677165354330717" header="0.31496062992125984" footer="0.47244094488188981"/>
  <pageSetup scale="99"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14</v>
      </c>
      <c r="DX42" s="1" t="s">
        <v>15</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F871"/>
  <sheetViews>
    <sheetView tabSelected="1" view="pageBreakPreview" topLeftCell="A805" zoomScaleNormal="100" zoomScaleSheetLayoutView="100" workbookViewId="0">
      <selection activeCell="J611" sqref="J611"/>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48" customFormat="1" x14ac:dyDescent="0.3">
      <c r="A1" s="44"/>
      <c r="B1" s="45" t="s">
        <v>5</v>
      </c>
      <c r="C1" s="46" t="s">
        <v>3</v>
      </c>
      <c r="D1" s="44"/>
      <c r="E1" s="44"/>
      <c r="F1" s="45" t="s">
        <v>51</v>
      </c>
      <c r="G1" s="47">
        <f>X1</f>
        <v>16</v>
      </c>
      <c r="H1" s="44"/>
      <c r="I1" s="44"/>
      <c r="J1" s="44"/>
      <c r="K1" s="44"/>
      <c r="M1" s="49" t="s">
        <v>17</v>
      </c>
      <c r="N1" s="49" t="s">
        <v>18</v>
      </c>
      <c r="O1" s="49" t="s">
        <v>19</v>
      </c>
      <c r="P1" s="49" t="s">
        <v>19</v>
      </c>
      <c r="Q1" s="49" t="s">
        <v>19</v>
      </c>
      <c r="R1" s="49" t="s">
        <v>20</v>
      </c>
      <c r="S1" s="68" t="s">
        <v>21</v>
      </c>
      <c r="T1" s="69" t="s">
        <v>52</v>
      </c>
      <c r="W1" s="50" t="s">
        <v>53</v>
      </c>
      <c r="X1" s="51">
        <f>SUM(M:M)</f>
        <v>16</v>
      </c>
    </row>
    <row r="2" spans="1:185" s="48" customFormat="1" x14ac:dyDescent="0.3">
      <c r="A2" s="44"/>
      <c r="B2" s="45" t="s">
        <v>6</v>
      </c>
      <c r="C2" s="46" t="s">
        <v>7</v>
      </c>
      <c r="D2" s="44"/>
      <c r="E2" s="44"/>
      <c r="F2" s="45" t="s">
        <v>8</v>
      </c>
      <c r="G2" s="46" t="s">
        <v>13</v>
      </c>
      <c r="H2" s="44"/>
      <c r="I2" s="44"/>
      <c r="J2" s="44"/>
      <c r="K2" s="44"/>
      <c r="M2" s="52" t="s">
        <v>22</v>
      </c>
      <c r="N2" s="52" t="s">
        <v>22</v>
      </c>
      <c r="O2" s="52" t="s">
        <v>18</v>
      </c>
      <c r="P2" s="52" t="s">
        <v>18</v>
      </c>
      <c r="Q2" s="52" t="s">
        <v>18</v>
      </c>
      <c r="R2" s="52" t="s">
        <v>22</v>
      </c>
      <c r="S2" s="70" t="s">
        <v>22</v>
      </c>
      <c r="T2" s="71"/>
      <c r="W2" s="50" t="s">
        <v>54</v>
      </c>
      <c r="X2" s="51">
        <f>SUM(N:N)</f>
        <v>0</v>
      </c>
    </row>
    <row r="3" spans="1:185" s="48" customFormat="1" x14ac:dyDescent="0.3">
      <c r="A3" s="44"/>
      <c r="B3" s="45" t="s">
        <v>1</v>
      </c>
      <c r="C3" s="53" t="s">
        <v>55</v>
      </c>
      <c r="D3" s="44"/>
      <c r="E3" s="44"/>
      <c r="F3" s="45" t="s">
        <v>0</v>
      </c>
      <c r="G3" s="46" t="s">
        <v>129</v>
      </c>
      <c r="H3" s="44"/>
      <c r="I3" s="44"/>
      <c r="J3" s="44"/>
      <c r="K3" s="44"/>
      <c r="M3" s="52"/>
      <c r="N3" s="52"/>
      <c r="O3" s="52"/>
      <c r="P3" s="52"/>
      <c r="Q3" s="52"/>
      <c r="R3" s="52"/>
      <c r="S3" s="70"/>
      <c r="T3" s="71"/>
      <c r="W3" s="50" t="s">
        <v>56</v>
      </c>
      <c r="X3" s="51">
        <f>SUM(O:O)</f>
        <v>0</v>
      </c>
    </row>
    <row r="4" spans="1:185" s="48" customFormat="1" x14ac:dyDescent="0.3">
      <c r="A4" s="44"/>
      <c r="B4" s="45" t="s">
        <v>57</v>
      </c>
      <c r="C4" s="47"/>
      <c r="D4" s="44"/>
      <c r="E4" s="44"/>
      <c r="F4" s="45" t="s">
        <v>58</v>
      </c>
      <c r="G4" s="46" t="s">
        <v>67</v>
      </c>
      <c r="H4" s="44"/>
      <c r="I4" s="44"/>
      <c r="J4" s="44"/>
      <c r="K4" s="44"/>
      <c r="M4" s="52"/>
      <c r="N4" s="52"/>
      <c r="O4" s="52"/>
      <c r="P4" s="52"/>
      <c r="Q4" s="54"/>
      <c r="R4" s="55"/>
      <c r="S4" s="72"/>
      <c r="T4" s="71"/>
      <c r="W4" s="50" t="s">
        <v>56</v>
      </c>
      <c r="X4" s="51">
        <f>SUM(P:P)</f>
        <v>0</v>
      </c>
    </row>
    <row r="5" spans="1:185" s="48" customFormat="1" x14ac:dyDescent="0.3">
      <c r="A5" s="44"/>
      <c r="B5" s="45" t="s">
        <v>60</v>
      </c>
      <c r="C5" s="47" t="s">
        <v>68</v>
      </c>
      <c r="D5" s="44"/>
      <c r="E5" s="45"/>
      <c r="F5" s="44"/>
      <c r="G5" s="44"/>
      <c r="H5" s="44"/>
      <c r="I5" s="44"/>
      <c r="J5" s="44"/>
      <c r="K5" s="44"/>
      <c r="M5" s="52"/>
      <c r="N5" s="52"/>
      <c r="O5" s="52"/>
      <c r="P5" s="52"/>
      <c r="Q5" s="54"/>
      <c r="R5" s="55"/>
      <c r="S5" s="72"/>
      <c r="T5" s="71"/>
      <c r="W5" s="50" t="s">
        <v>56</v>
      </c>
      <c r="X5" s="51">
        <f>SUM(Q:Q)</f>
        <v>0</v>
      </c>
    </row>
    <row r="6" spans="1:185" s="48" customFormat="1" x14ac:dyDescent="0.3">
      <c r="A6" s="44"/>
      <c r="B6" s="44" t="s">
        <v>9</v>
      </c>
      <c r="C6" s="56"/>
      <c r="D6" s="44"/>
      <c r="E6" s="44"/>
      <c r="F6" s="44"/>
      <c r="G6" s="44"/>
      <c r="H6" s="44"/>
      <c r="I6" s="44"/>
      <c r="J6" s="44"/>
      <c r="K6" s="44"/>
      <c r="M6" s="52"/>
      <c r="N6" s="52"/>
      <c r="O6" s="52"/>
      <c r="P6" s="52"/>
      <c r="Q6" s="54"/>
      <c r="R6" s="55"/>
      <c r="S6" s="72"/>
      <c r="T6" s="71"/>
      <c r="W6" s="50" t="s">
        <v>61</v>
      </c>
      <c r="X6" s="51">
        <f>SUM(R:R)</f>
        <v>0</v>
      </c>
    </row>
    <row r="7" spans="1:185" s="48" customFormat="1" x14ac:dyDescent="0.3">
      <c r="A7" s="44"/>
      <c r="B7" s="44"/>
      <c r="C7" s="44"/>
      <c r="D7" s="44"/>
      <c r="E7" s="44"/>
      <c r="F7" s="44"/>
      <c r="G7" s="44"/>
      <c r="H7" s="44"/>
      <c r="I7" s="44"/>
      <c r="J7" s="44"/>
      <c r="K7" s="44"/>
      <c r="M7" s="52"/>
      <c r="N7" s="52"/>
      <c r="O7" s="52"/>
      <c r="P7" s="52"/>
      <c r="Q7" s="54"/>
      <c r="R7" s="55"/>
      <c r="S7" s="72"/>
      <c r="T7" s="71"/>
      <c r="W7" s="50" t="s">
        <v>62</v>
      </c>
      <c r="X7" s="51">
        <f>SUM(S:S)</f>
        <v>0</v>
      </c>
    </row>
    <row r="8" spans="1:185" x14ac:dyDescent="0.3">
      <c r="A8" s="57"/>
      <c r="B8" s="48"/>
      <c r="C8" s="48"/>
      <c r="D8" s="48"/>
      <c r="E8" s="50" t="s">
        <v>5</v>
      </c>
      <c r="F8" s="51" t="str">
        <f>$C$1</f>
        <v>R. Abbott</v>
      </c>
      <c r="G8" s="48"/>
      <c r="H8" s="58"/>
      <c r="I8" s="50" t="s">
        <v>10</v>
      </c>
      <c r="J8" s="59" t="str">
        <f>$G$2</f>
        <v>AA-SM-001-000</v>
      </c>
      <c r="K8" s="60"/>
      <c r="L8" s="61"/>
      <c r="M8" s="52"/>
      <c r="N8" s="52"/>
      <c r="O8" s="52"/>
      <c r="P8" s="5"/>
      <c r="AD8" s="8"/>
    </row>
    <row r="9" spans="1:185" s="10" customFormat="1" x14ac:dyDescent="0.3">
      <c r="A9" s="48"/>
      <c r="B9" s="48"/>
      <c r="C9" s="48"/>
      <c r="D9" s="48"/>
      <c r="E9" s="50" t="s">
        <v>6</v>
      </c>
      <c r="F9" s="58" t="str">
        <f>$C$2</f>
        <v xml:space="preserve"> </v>
      </c>
      <c r="G9" s="48"/>
      <c r="H9" s="58"/>
      <c r="I9" s="50" t="s">
        <v>11</v>
      </c>
      <c r="J9" s="60" t="str">
        <f>$G$3</f>
        <v>B</v>
      </c>
      <c r="K9" s="60"/>
      <c r="L9" s="61"/>
      <c r="M9" s="52">
        <v>1</v>
      </c>
      <c r="N9" s="52"/>
      <c r="O9" s="52"/>
      <c r="P9" s="5"/>
      <c r="Q9" s="9"/>
      <c r="R9" s="7"/>
      <c r="S9" s="7"/>
      <c r="T9" s="2"/>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48"/>
      <c r="B10" s="48"/>
      <c r="C10" s="48"/>
      <c r="D10" s="48"/>
      <c r="E10" s="50" t="s">
        <v>1</v>
      </c>
      <c r="F10" s="58" t="str">
        <f>$C$3</f>
        <v>20/10/2013</v>
      </c>
      <c r="G10" s="48"/>
      <c r="H10" s="58"/>
      <c r="I10" s="50" t="s">
        <v>12</v>
      </c>
      <c r="J10" s="51" t="str">
        <f>L10&amp;" of "&amp;$G$1</f>
        <v>1 of 16</v>
      </c>
      <c r="K10" s="58"/>
      <c r="L10" s="61">
        <f>SUM($M$1:M9)</f>
        <v>1</v>
      </c>
      <c r="M10" s="52"/>
      <c r="N10" s="52"/>
      <c r="O10" s="52"/>
      <c r="P10" s="5"/>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48"/>
      <c r="B11" s="48"/>
      <c r="C11" s="48"/>
      <c r="D11" s="48"/>
      <c r="E11" s="50" t="s">
        <v>63</v>
      </c>
      <c r="F11" s="58" t="str">
        <f>$C$5</f>
        <v>STANDARD SPREADSHEET METHOD</v>
      </c>
      <c r="G11" s="48"/>
      <c r="H11" s="48"/>
      <c r="I11" s="62"/>
      <c r="J11" s="51"/>
      <c r="K11" s="48"/>
      <c r="L11" s="48"/>
      <c r="M11" s="52"/>
      <c r="N11" s="52"/>
      <c r="O11" s="52"/>
      <c r="P11" s="5"/>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64" t="str">
        <f>$G$4</f>
        <v>SECTION PROPERTIES</v>
      </c>
      <c r="C12" s="12"/>
      <c r="D12" s="12"/>
      <c r="E12" s="12"/>
      <c r="F12" s="12"/>
      <c r="G12" s="12"/>
      <c r="H12" s="12"/>
      <c r="I12" s="12"/>
      <c r="J12" s="12"/>
      <c r="K12" s="1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44"/>
      <c r="B13" s="4" t="s">
        <v>119</v>
      </c>
      <c r="C13" s="44"/>
      <c r="D13" s="44"/>
      <c r="E13" s="44"/>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R14" s="29"/>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row>
    <row r="15" spans="1:185" x14ac:dyDescent="0.3">
      <c r="A15" s="30"/>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row>
    <row r="16" spans="1:185" x14ac:dyDescent="0.3">
      <c r="A16" s="18"/>
      <c r="B16" s="18"/>
      <c r="C16" s="18"/>
      <c r="D16" s="18"/>
      <c r="E16" s="18"/>
      <c r="F16" s="18"/>
      <c r="G16" s="18"/>
      <c r="K16" s="18"/>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row>
    <row r="17" spans="1:188" x14ac:dyDescent="0.3">
      <c r="A17" s="18"/>
      <c r="B17" s="16" t="s">
        <v>48</v>
      </c>
      <c r="C17" s="20">
        <v>5</v>
      </c>
      <c r="D17" s="18" t="s">
        <v>4</v>
      </c>
      <c r="H17" s="31"/>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row>
    <row r="18" spans="1:188" x14ac:dyDescent="0.3">
      <c r="A18" s="18"/>
      <c r="B18" s="32"/>
      <c r="C18" s="33"/>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row>
    <row r="19" spans="1:188" x14ac:dyDescent="0.3">
      <c r="A19" s="18"/>
      <c r="B19" s="18"/>
      <c r="K19" s="18"/>
      <c r="S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row>
    <row r="20" spans="1:188" x14ac:dyDescent="0.3">
      <c r="A20" s="18"/>
      <c r="B20" s="18"/>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row>
    <row r="21" spans="1:188" x14ac:dyDescent="0.3">
      <c r="B21" s="31" t="s">
        <v>116</v>
      </c>
      <c r="E21" s="3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row>
    <row r="22" spans="1:188" x14ac:dyDescent="0.3">
      <c r="B22" s="16" t="s">
        <v>31</v>
      </c>
      <c r="C22" s="4" t="str">
        <f ca="1">[1]!xlv(C24)</f>
        <v>a²</v>
      </c>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row>
    <row r="23" spans="1:188" x14ac:dyDescent="0.3">
      <c r="B23" s="16" t="s">
        <v>31</v>
      </c>
      <c r="C23" s="4" t="str">
        <f>[1]!xln(C24)</f>
        <v>5²</v>
      </c>
      <c r="D23" s="11"/>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row>
    <row r="24" spans="1:188" x14ac:dyDescent="0.3">
      <c r="B24" s="16" t="s">
        <v>31</v>
      </c>
      <c r="C24" s="35">
        <f>C17^2</f>
        <v>25</v>
      </c>
      <c r="D24" s="90" t="s">
        <v>41</v>
      </c>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row>
    <row r="25" spans="1:188" x14ac:dyDescent="0.3">
      <c r="C25" s="22"/>
      <c r="D25" s="22"/>
      <c r="E25" s="22"/>
      <c r="F25" s="22"/>
      <c r="G25" s="22"/>
      <c r="H25" s="22"/>
      <c r="I25" s="22"/>
      <c r="S25" s="36"/>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37"/>
      <c r="GE25" s="37"/>
      <c r="GF25" s="37"/>
    </row>
    <row r="26" spans="1:188" x14ac:dyDescent="0.3">
      <c r="B26" s="31" t="s">
        <v>74</v>
      </c>
      <c r="C26" s="22"/>
      <c r="D26" s="2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38"/>
      <c r="FQ26" s="38"/>
      <c r="FR26" s="38"/>
      <c r="FS26" s="38"/>
      <c r="FT26" s="38"/>
      <c r="FU26" s="38"/>
      <c r="FV26" s="38"/>
      <c r="FW26" s="38"/>
      <c r="FX26" s="38"/>
      <c r="FY26" s="38"/>
      <c r="FZ26" s="38"/>
      <c r="GA26" s="38"/>
      <c r="GB26" s="38"/>
      <c r="GC26" s="38"/>
      <c r="GD26" s="38"/>
      <c r="GE26" s="38"/>
      <c r="GF26" s="38"/>
    </row>
    <row r="27" spans="1:188" ht="15" x14ac:dyDescent="0.35">
      <c r="B27" s="32" t="s">
        <v>71</v>
      </c>
      <c r="C27" s="22">
        <f>C17/2</f>
        <v>2.5</v>
      </c>
      <c r="D27" s="22" t="s">
        <v>4</v>
      </c>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38"/>
      <c r="FQ27" s="38"/>
      <c r="FR27" s="38"/>
      <c r="FS27" s="38"/>
      <c r="FT27" s="38"/>
      <c r="FU27" s="38"/>
      <c r="FV27" s="38"/>
      <c r="FW27" s="38"/>
      <c r="FX27" s="38"/>
      <c r="FY27" s="38"/>
      <c r="FZ27" s="38"/>
      <c r="GA27" s="38"/>
      <c r="GB27" s="38"/>
      <c r="GC27" s="38"/>
      <c r="GD27" s="38"/>
      <c r="GE27" s="38"/>
      <c r="GF27" s="38"/>
    </row>
    <row r="28" spans="1:188" ht="15" x14ac:dyDescent="0.35">
      <c r="B28" s="32" t="s">
        <v>75</v>
      </c>
      <c r="C28" s="22">
        <f>C27</f>
        <v>2.5</v>
      </c>
      <c r="D28" s="22" t="s">
        <v>4</v>
      </c>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38"/>
      <c r="FQ28" s="38"/>
      <c r="FR28" s="38"/>
      <c r="FS28" s="38"/>
      <c r="FT28" s="38"/>
      <c r="FU28" s="38"/>
      <c r="FV28" s="38"/>
      <c r="FW28" s="38"/>
      <c r="FX28" s="38"/>
      <c r="FY28" s="38"/>
      <c r="FZ28" s="38"/>
      <c r="GA28" s="38"/>
      <c r="GB28" s="38"/>
      <c r="GC28" s="38"/>
      <c r="GD28" s="38"/>
      <c r="GE28" s="38"/>
      <c r="GF28" s="38"/>
    </row>
    <row r="29" spans="1:188" x14ac:dyDescent="0.3">
      <c r="C29" s="22"/>
      <c r="D29" s="22"/>
      <c r="E29" s="22"/>
      <c r="F29" s="22"/>
      <c r="G29" s="22"/>
      <c r="H29" s="22"/>
      <c r="I29" s="2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38"/>
      <c r="FQ29" s="38"/>
      <c r="FR29" s="38"/>
      <c r="FS29" s="38"/>
      <c r="FT29" s="38"/>
      <c r="FU29" s="38"/>
      <c r="FV29" s="38"/>
      <c r="FW29" s="38"/>
      <c r="FX29" s="38"/>
      <c r="FY29" s="38"/>
      <c r="FZ29" s="38"/>
      <c r="GA29" s="38"/>
      <c r="GB29" s="38"/>
      <c r="GC29" s="38"/>
      <c r="GD29" s="38"/>
      <c r="GE29" s="38"/>
      <c r="GF29" s="38"/>
    </row>
    <row r="30" spans="1:188" x14ac:dyDescent="0.3">
      <c r="B30" s="31" t="s">
        <v>110</v>
      </c>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38"/>
      <c r="FQ30" s="38"/>
      <c r="FR30" s="38"/>
      <c r="FS30" s="38"/>
      <c r="FT30" s="38"/>
      <c r="FU30" s="38"/>
      <c r="FV30" s="38"/>
      <c r="FW30" s="38"/>
      <c r="FX30" s="38"/>
      <c r="FY30" s="38"/>
      <c r="FZ30" s="38"/>
      <c r="GA30" s="38"/>
      <c r="GB30" s="38"/>
      <c r="GC30" s="38"/>
      <c r="GD30" s="38"/>
      <c r="GE30" s="38"/>
      <c r="GF30" s="38"/>
    </row>
    <row r="31" spans="1:188" ht="15" x14ac:dyDescent="0.3">
      <c r="B31" s="16" t="s">
        <v>44</v>
      </c>
      <c r="C31" s="4" t="str">
        <f ca="1">[1]!xlv(C33)</f>
        <v>(1 / 12) × a⁴</v>
      </c>
      <c r="F31" s="32" t="s">
        <v>45</v>
      </c>
      <c r="G31" s="4" t="str">
        <f ca="1">[1]!xlv(G33)</f>
        <v>(1 / 12) × a⁴</v>
      </c>
      <c r="I31" s="16" t="s">
        <v>50</v>
      </c>
      <c r="J31" s="22" t="str">
        <f ca="1">[1]!xlv(J33)</f>
        <v>Iᵧ + Iₓ</v>
      </c>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38"/>
      <c r="FQ31" s="38"/>
      <c r="FR31" s="38"/>
      <c r="FS31" s="38"/>
      <c r="FT31" s="38"/>
      <c r="FU31" s="38"/>
      <c r="FV31" s="38"/>
      <c r="FW31" s="38"/>
      <c r="FX31" s="38"/>
      <c r="FY31" s="38"/>
      <c r="FZ31" s="38"/>
      <c r="GA31" s="38"/>
      <c r="GB31" s="38"/>
      <c r="GC31" s="38"/>
      <c r="GD31" s="38"/>
      <c r="GE31" s="38"/>
      <c r="GF31" s="38"/>
    </row>
    <row r="32" spans="1:188" ht="15" x14ac:dyDescent="0.3">
      <c r="B32" s="16" t="s">
        <v>44</v>
      </c>
      <c r="C32" s="4" t="str">
        <f>[1]!xln(C33)</f>
        <v>(1 / 12) × 5⁴</v>
      </c>
      <c r="F32" s="32" t="s">
        <v>45</v>
      </c>
      <c r="G32" s="4" t="str">
        <f>[1]!xln(G33)</f>
        <v>(1 / 12) × 5⁴</v>
      </c>
      <c r="I32" s="16" t="s">
        <v>50</v>
      </c>
      <c r="J32" s="22" t="str">
        <f>[1]!xln(J33)</f>
        <v>52.1 + 52.1</v>
      </c>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38"/>
      <c r="FQ32" s="38"/>
      <c r="FR32" s="38"/>
      <c r="FS32" s="38"/>
      <c r="FT32" s="38"/>
      <c r="FU32" s="38"/>
      <c r="FV32" s="38"/>
      <c r="FW32" s="38"/>
      <c r="FX32" s="38"/>
      <c r="FY32" s="38"/>
      <c r="FZ32" s="38"/>
      <c r="GA32" s="38"/>
      <c r="GB32" s="38"/>
      <c r="GC32" s="38"/>
      <c r="GD32" s="38"/>
      <c r="GE32" s="38"/>
      <c r="GF32" s="38"/>
    </row>
    <row r="33" spans="2:188" ht="15" x14ac:dyDescent="0.3">
      <c r="B33" s="16" t="s">
        <v>44</v>
      </c>
      <c r="C33" s="35">
        <f>(1/12)*C17^4</f>
        <v>52.083333333333329</v>
      </c>
      <c r="D33" s="18" t="s">
        <v>42</v>
      </c>
      <c r="F33" s="91" t="s">
        <v>45</v>
      </c>
      <c r="G33" s="35">
        <f>(1/12)*C17^4</f>
        <v>52.083333333333329</v>
      </c>
      <c r="H33" s="18" t="s">
        <v>42</v>
      </c>
      <c r="I33" s="16" t="s">
        <v>50</v>
      </c>
      <c r="J33" s="35">
        <f>G33+C33</f>
        <v>104.16666666666666</v>
      </c>
      <c r="K33" s="18" t="s">
        <v>42</v>
      </c>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38"/>
      <c r="FQ33" s="38"/>
      <c r="FR33" s="38"/>
      <c r="FS33" s="38"/>
      <c r="FT33" s="38"/>
      <c r="FU33" s="38"/>
      <c r="FV33" s="38"/>
      <c r="FW33" s="38"/>
      <c r="FX33" s="38"/>
      <c r="FY33" s="38"/>
      <c r="FZ33" s="38"/>
      <c r="GA33" s="38"/>
      <c r="GB33" s="38"/>
      <c r="GC33" s="38"/>
      <c r="GD33" s="38"/>
      <c r="GE33" s="38"/>
      <c r="GF33" s="38"/>
    </row>
    <row r="34" spans="2:188" x14ac:dyDescent="0.3">
      <c r="C34" s="22"/>
      <c r="D34" s="22"/>
      <c r="E34" s="22"/>
      <c r="F34" s="22"/>
      <c r="G34" s="22"/>
      <c r="H34" s="22"/>
      <c r="I34" s="2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38"/>
      <c r="FQ34" s="38"/>
      <c r="FR34" s="38"/>
      <c r="FS34" s="38"/>
      <c r="FT34" s="38"/>
      <c r="FU34" s="38"/>
      <c r="FV34" s="38"/>
      <c r="FW34" s="38"/>
      <c r="FX34" s="38"/>
      <c r="FY34" s="38"/>
      <c r="FZ34" s="38"/>
      <c r="GA34" s="38"/>
      <c r="GB34" s="38"/>
      <c r="GC34" s="38"/>
      <c r="GD34" s="38"/>
      <c r="GE34" s="38"/>
      <c r="GF34" s="38"/>
    </row>
    <row r="35" spans="2:188" x14ac:dyDescent="0.3">
      <c r="B35" s="34" t="s">
        <v>36</v>
      </c>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38"/>
      <c r="FQ35" s="38"/>
      <c r="FR35" s="38"/>
      <c r="FS35" s="38"/>
      <c r="FT35" s="38"/>
      <c r="FU35" s="38"/>
      <c r="FV35" s="38"/>
      <c r="FW35" s="38"/>
      <c r="FX35" s="38"/>
      <c r="FY35" s="38"/>
      <c r="FZ35" s="38"/>
      <c r="GA35" s="38"/>
      <c r="GB35" s="38"/>
      <c r="GC35" s="38"/>
      <c r="GD35" s="38"/>
      <c r="GE35" s="38"/>
      <c r="GF35" s="38"/>
    </row>
    <row r="36" spans="2:188" x14ac:dyDescent="0.3">
      <c r="B36" s="16" t="s">
        <v>46</v>
      </c>
      <c r="C36" s="4" t="str">
        <f ca="1">[1]!xlv(C38)</f>
        <v>√[Iₓ / A]</v>
      </c>
      <c r="F36" s="35" t="s">
        <v>47</v>
      </c>
      <c r="G36" s="22" t="str">
        <f ca="1">[1]!xlv(G38)</f>
        <v>√[Iᵧ / A]</v>
      </c>
      <c r="H36" s="22"/>
      <c r="S36" s="36"/>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38"/>
      <c r="FQ36" s="38"/>
      <c r="FR36" s="38"/>
      <c r="FS36" s="38"/>
      <c r="FT36" s="38"/>
      <c r="FU36" s="38"/>
      <c r="FV36" s="38"/>
      <c r="FW36" s="38"/>
      <c r="FX36" s="38"/>
      <c r="FY36" s="38"/>
      <c r="FZ36" s="38"/>
      <c r="GA36" s="38"/>
      <c r="GB36" s="38"/>
      <c r="GC36" s="38"/>
      <c r="GD36" s="38"/>
      <c r="GE36" s="38"/>
      <c r="GF36" s="38"/>
    </row>
    <row r="37" spans="2:188" x14ac:dyDescent="0.3">
      <c r="B37" s="16" t="s">
        <v>46</v>
      </c>
      <c r="C37" s="4" t="str">
        <f>[1]!xln(C38)</f>
        <v>√[52.1 / 25]</v>
      </c>
      <c r="F37" s="35" t="s">
        <v>47</v>
      </c>
      <c r="G37" s="22" t="str">
        <f>[1]!xln(G38)</f>
        <v>√[52.1 / 25]</v>
      </c>
      <c r="H37" s="2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38"/>
      <c r="FQ37" s="38"/>
      <c r="FR37" s="38"/>
      <c r="FS37" s="38"/>
      <c r="FT37" s="38"/>
      <c r="FU37" s="38"/>
      <c r="FV37" s="38"/>
      <c r="FW37" s="38"/>
      <c r="FX37" s="38"/>
      <c r="FY37" s="38"/>
      <c r="FZ37" s="38"/>
      <c r="GA37" s="38"/>
      <c r="GB37" s="38"/>
      <c r="GC37" s="38"/>
      <c r="GD37" s="38"/>
      <c r="GE37" s="38"/>
      <c r="GF37" s="38"/>
    </row>
    <row r="38" spans="2:188" x14ac:dyDescent="0.3">
      <c r="B38" s="35" t="s">
        <v>46</v>
      </c>
      <c r="C38" s="35">
        <f>SQRT(C33/C24)</f>
        <v>1.4433756729740643</v>
      </c>
      <c r="D38" s="90" t="s">
        <v>4</v>
      </c>
      <c r="F38" s="35" t="s">
        <v>47</v>
      </c>
      <c r="G38" s="22">
        <f>SQRT(G33/C24)</f>
        <v>1.4433756729740643</v>
      </c>
      <c r="H38" s="90" t="s">
        <v>4</v>
      </c>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38"/>
      <c r="FQ38" s="38"/>
      <c r="FR38" s="38"/>
      <c r="FS38" s="38"/>
      <c r="FT38" s="38"/>
      <c r="FU38" s="38"/>
      <c r="FV38" s="38"/>
      <c r="FW38" s="38"/>
      <c r="FX38" s="38"/>
      <c r="FY38" s="38"/>
      <c r="FZ38" s="38"/>
      <c r="GA38" s="38"/>
      <c r="GB38" s="38"/>
      <c r="GC38" s="38"/>
      <c r="GD38" s="38"/>
      <c r="GE38" s="38"/>
      <c r="GF38" s="38"/>
    </row>
    <row r="39" spans="2:188" x14ac:dyDescent="0.3">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38"/>
      <c r="FQ39" s="38"/>
      <c r="FR39" s="38"/>
    </row>
    <row r="40" spans="2:188" x14ac:dyDescent="0.3">
      <c r="B40" s="31" t="s">
        <v>111</v>
      </c>
      <c r="C40" s="22"/>
      <c r="D40" s="22"/>
      <c r="E40" s="22"/>
      <c r="F40" s="22"/>
      <c r="G40" s="22"/>
      <c r="H40" s="22"/>
      <c r="I40" s="2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38"/>
      <c r="FQ40" s="38"/>
      <c r="FR40" s="38"/>
    </row>
    <row r="41" spans="2:188" x14ac:dyDescent="0.3">
      <c r="B41" s="16" t="s">
        <v>72</v>
      </c>
      <c r="C41" s="22" t="str">
        <f ca="1">[1]!xlv(C43)</f>
        <v>0.25 × a³</v>
      </c>
      <c r="D41" s="22"/>
      <c r="F41" s="91" t="s">
        <v>73</v>
      </c>
      <c r="G41" s="22" t="str">
        <f ca="1">[1]!xlv(G43)</f>
        <v>0.25 × a³</v>
      </c>
      <c r="H41" s="22"/>
      <c r="I41" s="9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row>
    <row r="42" spans="2:188" x14ac:dyDescent="0.3">
      <c r="B42" s="16" t="s">
        <v>72</v>
      </c>
      <c r="C42" s="22" t="str">
        <f>[1]!xln(C43)</f>
        <v>0.25 × 5³</v>
      </c>
      <c r="D42" s="97"/>
      <c r="F42" s="91" t="s">
        <v>73</v>
      </c>
      <c r="G42" s="22" t="str">
        <f>[1]!xln(G43)</f>
        <v>0.25 × 5³</v>
      </c>
      <c r="H42" s="22"/>
      <c r="I42" s="2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row>
    <row r="43" spans="2:188" x14ac:dyDescent="0.3">
      <c r="B43" s="16" t="s">
        <v>72</v>
      </c>
      <c r="C43" s="22">
        <f>0.25*C17^3</f>
        <v>31.25</v>
      </c>
      <c r="D43" s="22" t="s">
        <v>33</v>
      </c>
      <c r="F43" s="91" t="s">
        <v>73</v>
      </c>
      <c r="G43" s="22">
        <f>0.25*C17^3</f>
        <v>31.25</v>
      </c>
      <c r="H43" s="22" t="s">
        <v>33</v>
      </c>
      <c r="I43" s="22"/>
      <c r="T43" s="39"/>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row>
    <row r="45" spans="2:188" x14ac:dyDescent="0.3">
      <c r="B45" s="31" t="s">
        <v>112</v>
      </c>
      <c r="AB45" s="40"/>
    </row>
    <row r="46" spans="2:188" x14ac:dyDescent="0.3">
      <c r="B46" s="16" t="s">
        <v>113</v>
      </c>
      <c r="C46" s="22" t="str">
        <f ca="1">[1]!xlv(C48)</f>
        <v>a / 2 × a × a / 4</v>
      </c>
      <c r="F46" s="91" t="s">
        <v>114</v>
      </c>
      <c r="G46" s="22" t="str">
        <f ca="1">[1]!xlv(G48)</f>
        <v>a / 2 × a × a / 4</v>
      </c>
    </row>
    <row r="47" spans="2:188" x14ac:dyDescent="0.3">
      <c r="B47" s="16" t="s">
        <v>113</v>
      </c>
      <c r="C47" s="22" t="str">
        <f>[1]!xln(C48)</f>
        <v>5 / 2 × 5 × 5 / 4</v>
      </c>
      <c r="F47" s="91" t="s">
        <v>114</v>
      </c>
      <c r="G47" s="22" t="str">
        <f>[1]!xln(G48)</f>
        <v>5 / 2 × 5 × 5 / 4</v>
      </c>
    </row>
    <row r="48" spans="2:188" x14ac:dyDescent="0.3">
      <c r="B48" s="16" t="s">
        <v>113</v>
      </c>
      <c r="C48" s="87">
        <f>C17/2*C17*C17/4</f>
        <v>15.625</v>
      </c>
      <c r="D48" s="22" t="s">
        <v>33</v>
      </c>
      <c r="F48" s="91" t="s">
        <v>114</v>
      </c>
      <c r="G48" s="87">
        <f>C17/2*C17*C17/4</f>
        <v>15.625</v>
      </c>
      <c r="H48" s="22" t="s">
        <v>33</v>
      </c>
    </row>
    <row r="50" spans="1:185" x14ac:dyDescent="0.3">
      <c r="B50" s="31" t="s">
        <v>115</v>
      </c>
    </row>
    <row r="51" spans="1:185" x14ac:dyDescent="0.3">
      <c r="B51" s="32" t="s">
        <v>117</v>
      </c>
      <c r="C51" s="22" t="str">
        <f ca="1">[1]!xlv(C53)</f>
        <v>2 × Qₓ / (Iₓ / yc)</v>
      </c>
      <c r="F51" s="32" t="s">
        <v>118</v>
      </c>
      <c r="G51" s="4" t="str">
        <f ca="1">[1]!xlv(G53)</f>
        <v>2 × Qᵧ / (Iᵧ / xc)</v>
      </c>
    </row>
    <row r="52" spans="1:185" x14ac:dyDescent="0.3">
      <c r="B52" s="32" t="s">
        <v>117</v>
      </c>
      <c r="C52" s="22" t="str">
        <f>[1]!xln(C53)</f>
        <v>2 × 15.6 / (52.1 / 2.5)</v>
      </c>
      <c r="F52" s="32" t="s">
        <v>118</v>
      </c>
      <c r="G52" s="4" t="str">
        <f>[1]!xln(G53)</f>
        <v>2 × 15.6 / (52.1 / 2.5)</v>
      </c>
    </row>
    <row r="53" spans="1:185" x14ac:dyDescent="0.3">
      <c r="B53" s="32" t="s">
        <v>117</v>
      </c>
      <c r="C53" s="4">
        <f>2*C48/(C33/C27)</f>
        <v>1.5</v>
      </c>
      <c r="F53" s="32" t="s">
        <v>118</v>
      </c>
      <c r="G53" s="4">
        <f>2*G48/(G33/C28)</f>
        <v>1.5</v>
      </c>
    </row>
    <row r="55" spans="1:185" x14ac:dyDescent="0.3">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row>
    <row r="56" spans="1:185" x14ac:dyDescent="0.3">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row>
    <row r="57" spans="1:185" x14ac:dyDescent="0.3">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5" x14ac:dyDescent="0.3">
      <c r="A58" s="12"/>
      <c r="B58" s="3"/>
      <c r="C58" s="74"/>
      <c r="D58" s="12"/>
      <c r="E58" s="12"/>
      <c r="F58" s="12"/>
      <c r="G58" s="74"/>
      <c r="H58" s="12"/>
      <c r="I58" s="12"/>
      <c r="J58" s="12"/>
      <c r="K58" s="1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5" x14ac:dyDescent="0.3">
      <c r="A59" s="12"/>
      <c r="B59" s="75"/>
      <c r="C59" s="74"/>
      <c r="D59" s="76"/>
      <c r="E59" s="76"/>
      <c r="F59" s="77" t="s">
        <v>105</v>
      </c>
      <c r="G59" s="74"/>
      <c r="H59" s="76"/>
      <c r="I59" s="76"/>
      <c r="J59" s="76"/>
      <c r="K59" s="1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row>
    <row r="60" spans="1:185" x14ac:dyDescent="0.3">
      <c r="A60" s="12"/>
      <c r="B60" s="76"/>
      <c r="C60" s="76"/>
      <c r="D60" s="76"/>
      <c r="E60" s="76"/>
      <c r="F60" s="104" t="s">
        <v>106</v>
      </c>
      <c r="G60" s="76"/>
      <c r="H60" s="76"/>
      <c r="I60" s="76"/>
      <c r="J60" s="76"/>
      <c r="K60" s="1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row>
    <row r="61" spans="1:185" x14ac:dyDescent="0.3">
      <c r="A61" s="57"/>
      <c r="B61" s="48"/>
      <c r="C61" s="48"/>
      <c r="D61" s="48"/>
      <c r="E61" s="50" t="s">
        <v>5</v>
      </c>
      <c r="F61" s="51" t="str">
        <f>$C$1</f>
        <v>R. Abbott</v>
      </c>
      <c r="G61" s="48"/>
      <c r="H61" s="58"/>
      <c r="I61" s="50" t="s">
        <v>10</v>
      </c>
      <c r="J61" s="59" t="str">
        <f>$G$2</f>
        <v>AA-SM-001-000</v>
      </c>
      <c r="K61" s="60"/>
      <c r="L61" s="61"/>
      <c r="M61" s="52"/>
      <c r="N61" s="52"/>
      <c r="O61" s="52"/>
      <c r="P61" s="5"/>
      <c r="AD61" s="8"/>
    </row>
    <row r="62" spans="1:185" s="10" customFormat="1" x14ac:dyDescent="0.3">
      <c r="A62" s="48"/>
      <c r="B62" s="48"/>
      <c r="C62" s="48"/>
      <c r="D62" s="48"/>
      <c r="E62" s="50" t="s">
        <v>6</v>
      </c>
      <c r="F62" s="58" t="str">
        <f>$C$2</f>
        <v xml:space="preserve"> </v>
      </c>
      <c r="G62" s="48"/>
      <c r="H62" s="58"/>
      <c r="I62" s="50" t="s">
        <v>11</v>
      </c>
      <c r="J62" s="60" t="str">
        <f>$G$3</f>
        <v>B</v>
      </c>
      <c r="K62" s="60"/>
      <c r="L62" s="61"/>
      <c r="M62" s="52">
        <v>1</v>
      </c>
      <c r="N62" s="52"/>
      <c r="O62" s="52"/>
      <c r="P62" s="5"/>
      <c r="Q62" s="9"/>
      <c r="R62" s="7"/>
      <c r="S62" s="7"/>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row>
    <row r="63" spans="1:185" x14ac:dyDescent="0.3">
      <c r="A63" s="48"/>
      <c r="B63" s="48"/>
      <c r="C63" s="48"/>
      <c r="D63" s="48"/>
      <c r="E63" s="50" t="s">
        <v>1</v>
      </c>
      <c r="F63" s="58" t="str">
        <f>$C$3</f>
        <v>20/10/2013</v>
      </c>
      <c r="G63" s="48"/>
      <c r="H63" s="58"/>
      <c r="I63" s="50" t="s">
        <v>12</v>
      </c>
      <c r="J63" s="51" t="str">
        <f>L63&amp;" of "&amp;$G$1</f>
        <v>2 of 16</v>
      </c>
      <c r="K63" s="58"/>
      <c r="L63" s="61">
        <f>SUM($M$1:M62)</f>
        <v>2</v>
      </c>
      <c r="M63" s="52"/>
      <c r="N63" s="52"/>
      <c r="O63" s="52"/>
      <c r="P63" s="5"/>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row>
    <row r="64" spans="1:185" x14ac:dyDescent="0.3">
      <c r="A64" s="48"/>
      <c r="B64" s="48"/>
      <c r="C64" s="48"/>
      <c r="D64" s="48"/>
      <c r="E64" s="50" t="s">
        <v>63</v>
      </c>
      <c r="F64" s="58" t="str">
        <f>$C$5</f>
        <v>STANDARD SPREADSHEET METHOD</v>
      </c>
      <c r="G64" s="48"/>
      <c r="H64" s="48"/>
      <c r="I64" s="62"/>
      <c r="J64" s="51"/>
      <c r="K64" s="48"/>
      <c r="L64" s="48"/>
      <c r="M64" s="52"/>
      <c r="N64" s="52"/>
      <c r="O64" s="52"/>
      <c r="P64" s="5"/>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row>
    <row r="65" spans="1:188" ht="15.6" x14ac:dyDescent="0.3">
      <c r="A65" s="12"/>
      <c r="B65" s="64" t="str">
        <f>$G$4</f>
        <v>SECTION PROPERTIES</v>
      </c>
      <c r="C65" s="12"/>
      <c r="D65" s="12"/>
      <c r="E65" s="12"/>
      <c r="F65" s="12"/>
      <c r="G65" s="12"/>
      <c r="H65" s="12"/>
      <c r="I65" s="12"/>
      <c r="J65" s="12"/>
      <c r="K65" s="1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row>
    <row r="66" spans="1:188" x14ac:dyDescent="0.3">
      <c r="A66" s="44"/>
      <c r="B66" s="4" t="s">
        <v>23</v>
      </c>
      <c r="C66" s="44"/>
      <c r="D66" s="44"/>
      <c r="E66" s="4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row>
    <row r="67" spans="1:188" x14ac:dyDescent="0.3">
      <c r="R67" s="29"/>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row>
    <row r="68" spans="1:188" x14ac:dyDescent="0.3">
      <c r="A68" s="30"/>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row>
    <row r="69" spans="1:188" x14ac:dyDescent="0.3">
      <c r="A69" s="18"/>
      <c r="B69" s="18"/>
      <c r="C69" s="18"/>
      <c r="D69" s="18"/>
      <c r="E69" s="18"/>
      <c r="F69" s="18"/>
      <c r="G69" s="18"/>
      <c r="K69" s="18"/>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row>
    <row r="70" spans="1:188" x14ac:dyDescent="0.3">
      <c r="A70" s="18"/>
      <c r="B70" s="16" t="s">
        <v>37</v>
      </c>
      <c r="C70" s="20">
        <v>5</v>
      </c>
      <c r="D70" s="18" t="s">
        <v>4</v>
      </c>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row>
    <row r="71" spans="1:188" x14ac:dyDescent="0.3">
      <c r="A71" s="18"/>
      <c r="B71" s="32" t="s">
        <v>76</v>
      </c>
      <c r="C71" s="33">
        <v>20</v>
      </c>
      <c r="D71" s="4" t="s">
        <v>34</v>
      </c>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row>
    <row r="72" spans="1:188" x14ac:dyDescent="0.3">
      <c r="A72" s="18"/>
      <c r="B72" s="32"/>
      <c r="C72" s="33"/>
      <c r="K72" s="18"/>
      <c r="S72" s="14"/>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row>
    <row r="73" spans="1:188" x14ac:dyDescent="0.3">
      <c r="A73" s="18"/>
      <c r="B73" s="18"/>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row>
    <row r="74" spans="1:188" x14ac:dyDescent="0.3">
      <c r="B74" s="31" t="s">
        <v>116</v>
      </c>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row>
    <row r="75" spans="1:188" x14ac:dyDescent="0.3">
      <c r="B75" s="16" t="s">
        <v>31</v>
      </c>
      <c r="C75" s="4" t="str">
        <f ca="1">[1]!xlv(C77)</f>
        <v>b × d</v>
      </c>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row>
    <row r="76" spans="1:188" x14ac:dyDescent="0.3">
      <c r="B76" s="16" t="s">
        <v>31</v>
      </c>
      <c r="C76" s="4" t="str">
        <f>[1]!xln(C77)</f>
        <v>5 × 20</v>
      </c>
      <c r="D76" s="11"/>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row>
    <row r="77" spans="1:188" x14ac:dyDescent="0.3">
      <c r="B77" s="16" t="s">
        <v>31</v>
      </c>
      <c r="C77" s="17">
        <f>C70*C71</f>
        <v>100</v>
      </c>
      <c r="D77" s="18" t="s">
        <v>41</v>
      </c>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row>
    <row r="78" spans="1:188" x14ac:dyDescent="0.3">
      <c r="S78" s="36"/>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37"/>
      <c r="GE78" s="37"/>
      <c r="GF78" s="37"/>
    </row>
    <row r="79" spans="1:188" x14ac:dyDescent="0.3">
      <c r="B79" s="31" t="s">
        <v>74</v>
      </c>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38"/>
      <c r="FQ79" s="38"/>
      <c r="FR79" s="38"/>
      <c r="FS79" s="38"/>
      <c r="FT79" s="38"/>
      <c r="FU79" s="38"/>
      <c r="FV79" s="38"/>
      <c r="FW79" s="38"/>
      <c r="FX79" s="38"/>
      <c r="FY79" s="38"/>
      <c r="FZ79" s="38"/>
      <c r="GA79" s="38"/>
      <c r="GB79" s="38"/>
      <c r="GC79" s="38"/>
      <c r="GD79" s="38"/>
      <c r="GE79" s="38"/>
      <c r="GF79" s="38"/>
    </row>
    <row r="80" spans="1:188" ht="15" x14ac:dyDescent="0.35">
      <c r="B80" s="32" t="s">
        <v>71</v>
      </c>
      <c r="C80" s="22">
        <f>C70/2</f>
        <v>2.5</v>
      </c>
      <c r="D80" s="4" t="s">
        <v>4</v>
      </c>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38"/>
      <c r="FQ80" s="38"/>
      <c r="FR80" s="38"/>
      <c r="FS80" s="38"/>
      <c r="FT80" s="38"/>
      <c r="FU80" s="38"/>
      <c r="FV80" s="38"/>
      <c r="FW80" s="38"/>
      <c r="FX80" s="38"/>
      <c r="FY80" s="38"/>
      <c r="FZ80" s="38"/>
      <c r="GA80" s="38"/>
      <c r="GB80" s="38"/>
      <c r="GC80" s="38"/>
      <c r="GD80" s="38"/>
      <c r="GE80" s="38"/>
      <c r="GF80" s="38"/>
    </row>
    <row r="81" spans="2:188" ht="15" x14ac:dyDescent="0.35">
      <c r="B81" s="32" t="s">
        <v>75</v>
      </c>
      <c r="C81" s="22">
        <f>C71/2</f>
        <v>10</v>
      </c>
      <c r="D81" s="4" t="s">
        <v>4</v>
      </c>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38"/>
      <c r="FQ81" s="38"/>
      <c r="FR81" s="38"/>
      <c r="FS81" s="38"/>
      <c r="FT81" s="38"/>
      <c r="FU81" s="38"/>
      <c r="FV81" s="38"/>
      <c r="FW81" s="38"/>
      <c r="FX81" s="38"/>
      <c r="FY81" s="38"/>
      <c r="FZ81" s="38"/>
      <c r="GA81" s="38"/>
      <c r="GB81" s="38"/>
      <c r="GC81" s="38"/>
      <c r="GD81" s="38"/>
      <c r="GE81" s="38"/>
      <c r="GF81" s="38"/>
    </row>
    <row r="82" spans="2:188" x14ac:dyDescent="0.3">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38"/>
      <c r="FQ82" s="38"/>
      <c r="FR82" s="38"/>
      <c r="FS82" s="38"/>
      <c r="FT82" s="38"/>
      <c r="FU82" s="38"/>
      <c r="FV82" s="38"/>
      <c r="FW82" s="38"/>
      <c r="FX82" s="38"/>
      <c r="FY82" s="38"/>
      <c r="FZ82" s="38"/>
      <c r="GA82" s="38"/>
      <c r="GB82" s="38"/>
      <c r="GC82" s="38"/>
      <c r="GD82" s="38"/>
      <c r="GE82" s="38"/>
      <c r="GF82" s="38"/>
    </row>
    <row r="83" spans="2:188" x14ac:dyDescent="0.3">
      <c r="B83" s="31" t="s">
        <v>110</v>
      </c>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38"/>
      <c r="FQ83" s="38"/>
      <c r="FR83" s="38"/>
      <c r="FS83" s="38"/>
      <c r="FT83" s="38"/>
      <c r="FU83" s="38"/>
      <c r="FV83" s="38"/>
      <c r="FW83" s="38"/>
      <c r="FX83" s="38"/>
      <c r="FY83" s="38"/>
      <c r="FZ83" s="38"/>
      <c r="GA83" s="38"/>
      <c r="GB83" s="38"/>
      <c r="GC83" s="38"/>
      <c r="GD83" s="38"/>
      <c r="GE83" s="38"/>
      <c r="GF83" s="38"/>
    </row>
    <row r="84" spans="2:188" ht="15" x14ac:dyDescent="0.3">
      <c r="B84" s="16" t="s">
        <v>44</v>
      </c>
      <c r="C84" s="4" t="str">
        <f ca="1">[1]!xlv(C86)</f>
        <v>(1 / 12) × b × d³</v>
      </c>
      <c r="F84" s="32" t="s">
        <v>45</v>
      </c>
      <c r="G84" s="4" t="str">
        <f ca="1">[1]!xlv(G86)</f>
        <v>(1 / 12) × d × b³</v>
      </c>
      <c r="I84" s="16" t="s">
        <v>50</v>
      </c>
      <c r="J84" s="4" t="str">
        <f ca="1">[1]!xlv(J86)</f>
        <v>Iᵧ + Iₓ</v>
      </c>
      <c r="S84" s="36"/>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38"/>
      <c r="FQ84" s="38"/>
      <c r="FR84" s="38"/>
      <c r="FS84" s="38"/>
      <c r="FT84" s="38"/>
      <c r="FU84" s="38"/>
      <c r="FV84" s="38"/>
      <c r="FW84" s="38"/>
      <c r="FX84" s="38"/>
      <c r="FY84" s="38"/>
      <c r="FZ84" s="38"/>
      <c r="GA84" s="38"/>
      <c r="GB84" s="38"/>
      <c r="GC84" s="38"/>
      <c r="GD84" s="38"/>
      <c r="GE84" s="38"/>
      <c r="GF84" s="38"/>
    </row>
    <row r="85" spans="2:188" ht="15" x14ac:dyDescent="0.3">
      <c r="B85" s="16" t="s">
        <v>44</v>
      </c>
      <c r="C85" s="4" t="str">
        <f>[1]!xln(C86)</f>
        <v>(1 / 12) × 5 × 20³</v>
      </c>
      <c r="F85" s="32" t="s">
        <v>45</v>
      </c>
      <c r="G85" s="4" t="str">
        <f>[1]!xln(G86)</f>
        <v>(1 / 12) × 20 × 5³</v>
      </c>
      <c r="I85" s="16" t="s">
        <v>50</v>
      </c>
      <c r="J85" s="4" t="str">
        <f>[1]!xln(J86)</f>
        <v>208 + 3333</v>
      </c>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38"/>
      <c r="FQ85" s="38"/>
      <c r="FR85" s="38"/>
      <c r="FS85" s="38"/>
      <c r="FT85" s="38"/>
      <c r="FU85" s="38"/>
      <c r="FV85" s="38"/>
      <c r="FW85" s="38"/>
      <c r="FX85" s="38"/>
      <c r="FY85" s="38"/>
      <c r="FZ85" s="38"/>
      <c r="GA85" s="38"/>
      <c r="GB85" s="38"/>
      <c r="GC85" s="38"/>
      <c r="GD85" s="38"/>
      <c r="GE85" s="38"/>
      <c r="GF85" s="38"/>
    </row>
    <row r="86" spans="2:188" ht="15" x14ac:dyDescent="0.3">
      <c r="B86" s="16" t="s">
        <v>44</v>
      </c>
      <c r="C86" s="17">
        <f>(1/12)*C70*C71^3</f>
        <v>3333.333333333333</v>
      </c>
      <c r="D86" s="18" t="s">
        <v>42</v>
      </c>
      <c r="F86" s="32" t="s">
        <v>45</v>
      </c>
      <c r="G86" s="17">
        <f>(1/12)*C71*C70^3</f>
        <v>208.33333333333331</v>
      </c>
      <c r="H86" s="18" t="s">
        <v>42</v>
      </c>
      <c r="I86" s="16" t="s">
        <v>50</v>
      </c>
      <c r="J86" s="17">
        <f>G86+C86</f>
        <v>3541.6666666666665</v>
      </c>
      <c r="K86" s="18" t="s">
        <v>42</v>
      </c>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38"/>
      <c r="FQ86" s="38"/>
      <c r="FR86" s="38"/>
      <c r="FS86" s="38"/>
      <c r="FT86" s="38"/>
      <c r="FU86" s="38"/>
      <c r="FV86" s="38"/>
      <c r="FW86" s="38"/>
      <c r="FX86" s="38"/>
      <c r="FY86" s="38"/>
      <c r="FZ86" s="38"/>
      <c r="GA86" s="38"/>
      <c r="GB86" s="38"/>
      <c r="GC86" s="38"/>
      <c r="GD86" s="38"/>
      <c r="GE86" s="38"/>
      <c r="GF86" s="38"/>
    </row>
    <row r="87" spans="2:188" x14ac:dyDescent="0.3">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38"/>
      <c r="FQ87" s="38"/>
      <c r="FR87" s="38"/>
    </row>
    <row r="88" spans="2:188" x14ac:dyDescent="0.3">
      <c r="B88" s="34" t="s">
        <v>36</v>
      </c>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38"/>
      <c r="FQ88" s="38"/>
      <c r="FR88" s="38"/>
    </row>
    <row r="89" spans="2:188" x14ac:dyDescent="0.3">
      <c r="B89" s="16" t="s">
        <v>46</v>
      </c>
      <c r="C89" s="4" t="str">
        <f ca="1">[1]!xlv(C91)</f>
        <v>√[Iₓ / A]</v>
      </c>
      <c r="F89" s="16" t="s">
        <v>47</v>
      </c>
      <c r="G89" s="4" t="str">
        <f ca="1">[1]!xlv(G91)</f>
        <v>√[Iᵧ / A]</v>
      </c>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row>
    <row r="90" spans="2:188" x14ac:dyDescent="0.3">
      <c r="B90" s="16" t="s">
        <v>46</v>
      </c>
      <c r="C90" s="4" t="str">
        <f>[1]!xln(C91)</f>
        <v>√[3333 / 100]</v>
      </c>
      <c r="F90" s="16" t="s">
        <v>47</v>
      </c>
      <c r="G90" s="4" t="str">
        <f>[1]!xln(G91)</f>
        <v>√[208 / 100]</v>
      </c>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2:188" x14ac:dyDescent="0.3">
      <c r="B91" s="16" t="s">
        <v>46</v>
      </c>
      <c r="C91" s="35">
        <f>SQRT(C86/C77)</f>
        <v>5.7735026918962573</v>
      </c>
      <c r="D91" s="18" t="s">
        <v>4</v>
      </c>
      <c r="F91" s="16" t="s">
        <v>47</v>
      </c>
      <c r="G91" s="22">
        <f>SQRT(G86/C77)</f>
        <v>1.4433756729740643</v>
      </c>
      <c r="H91" s="18" t="s">
        <v>4</v>
      </c>
      <c r="T91" s="39"/>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row>
    <row r="93" spans="2:188" x14ac:dyDescent="0.3">
      <c r="B93" s="31" t="s">
        <v>111</v>
      </c>
      <c r="AB93" s="40"/>
    </row>
    <row r="94" spans="2:188" x14ac:dyDescent="0.3">
      <c r="B94" s="16" t="s">
        <v>72</v>
      </c>
      <c r="C94" s="4" t="str">
        <f ca="1">[1]!xlv(C96)</f>
        <v>0.25 × b × d²</v>
      </c>
      <c r="E94" s="32" t="s">
        <v>73</v>
      </c>
      <c r="F94" s="4" t="str">
        <f ca="1">[1]!xlv(F96)</f>
        <v>0.25 × d × b²</v>
      </c>
      <c r="H94" s="16"/>
    </row>
    <row r="95" spans="2:188" x14ac:dyDescent="0.3">
      <c r="B95" s="16" t="s">
        <v>72</v>
      </c>
      <c r="C95" s="4" t="str">
        <f>[1]!xln(C96)</f>
        <v>0.25 × 5 × 20²</v>
      </c>
      <c r="D95" s="11"/>
      <c r="E95" s="32" t="s">
        <v>73</v>
      </c>
      <c r="F95" s="4" t="str">
        <f>[1]!xln(F96)</f>
        <v>0.25 × 20 × 5²</v>
      </c>
      <c r="H95" s="16"/>
    </row>
    <row r="96" spans="2:188" x14ac:dyDescent="0.3">
      <c r="B96" s="16" t="s">
        <v>72</v>
      </c>
      <c r="C96" s="38">
        <f>0.25*C70*C71^2</f>
        <v>500</v>
      </c>
      <c r="D96" s="4" t="s">
        <v>33</v>
      </c>
      <c r="E96" s="32" t="s">
        <v>73</v>
      </c>
      <c r="F96" s="38">
        <f>0.25*C71*C70^2</f>
        <v>125</v>
      </c>
      <c r="G96" s="4" t="s">
        <v>33</v>
      </c>
      <c r="H96" s="16"/>
      <c r="I96" s="38"/>
    </row>
    <row r="98" spans="1:183" x14ac:dyDescent="0.3">
      <c r="B98" s="31" t="s">
        <v>112</v>
      </c>
    </row>
    <row r="99" spans="1:183" x14ac:dyDescent="0.3">
      <c r="B99" s="16" t="s">
        <v>113</v>
      </c>
      <c r="C99" s="22" t="str">
        <f ca="1">[1]!xlv(C101)</f>
        <v>d / 2 × d × d / 4</v>
      </c>
      <c r="F99" s="91" t="s">
        <v>114</v>
      </c>
      <c r="G99" s="22" t="str">
        <f ca="1">[1]!xlv(G101)</f>
        <v>b / 2 × b × b / 4</v>
      </c>
    </row>
    <row r="100" spans="1:183" x14ac:dyDescent="0.3">
      <c r="B100" s="16" t="s">
        <v>113</v>
      </c>
      <c r="C100" s="22" t="str">
        <f>[1]!xln(C101)</f>
        <v>20 / 2 × 20 × 20 / 4</v>
      </c>
      <c r="F100" s="91" t="s">
        <v>114</v>
      </c>
      <c r="G100" s="22" t="str">
        <f>[1]!xln(G101)</f>
        <v>5 / 2 × 5 × 5 / 4</v>
      </c>
    </row>
    <row r="101" spans="1:183" x14ac:dyDescent="0.3">
      <c r="B101" s="16" t="s">
        <v>113</v>
      </c>
      <c r="C101" s="87">
        <f>C71/2*C71*C71/4</f>
        <v>1000</v>
      </c>
      <c r="D101" s="22" t="s">
        <v>33</v>
      </c>
      <c r="F101" s="91" t="s">
        <v>114</v>
      </c>
      <c r="G101" s="87">
        <f>C70/2*C70*C70/4</f>
        <v>15.625</v>
      </c>
      <c r="H101" s="22" t="s">
        <v>33</v>
      </c>
    </row>
    <row r="103" spans="1:183" x14ac:dyDescent="0.3">
      <c r="B103" s="31" t="s">
        <v>115</v>
      </c>
    </row>
    <row r="104" spans="1:183" x14ac:dyDescent="0.3">
      <c r="B104" s="32" t="s">
        <v>117</v>
      </c>
      <c r="C104" s="22" t="str">
        <f ca="1">[1]!xlv(C106)</f>
        <v>2 × Qₓ / (Iₓ / yc)</v>
      </c>
      <c r="F104" s="32" t="s">
        <v>118</v>
      </c>
      <c r="G104" s="4" t="str">
        <f ca="1">[1]!xlv(G106)</f>
        <v>2 × Qᵧ / (Iᵧ / xc)</v>
      </c>
    </row>
    <row r="105" spans="1:183" x14ac:dyDescent="0.3">
      <c r="B105" s="32" t="s">
        <v>117</v>
      </c>
      <c r="C105" s="22" t="str">
        <f>[1]!xln(C106)</f>
        <v>2 × 1000 / (3333 / 2.5)</v>
      </c>
      <c r="F105" s="32" t="s">
        <v>118</v>
      </c>
      <c r="G105" s="4" t="str">
        <f>[1]!xln(G106)</f>
        <v>2 × 15.6 / (208 / 10)</v>
      </c>
    </row>
    <row r="106" spans="1:183" x14ac:dyDescent="0.3">
      <c r="B106" s="32" t="s">
        <v>117</v>
      </c>
      <c r="C106" s="4">
        <f>2*C101/(C86/C80)</f>
        <v>1.5</v>
      </c>
      <c r="F106" s="32" t="s">
        <v>118</v>
      </c>
      <c r="G106" s="4">
        <f>2*G101/(G86/C81)</f>
        <v>1.5</v>
      </c>
    </row>
    <row r="108" spans="1:183" x14ac:dyDescent="0.3">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row>
    <row r="109" spans="1:183" x14ac:dyDescent="0.3">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row>
    <row r="110" spans="1:183" x14ac:dyDescent="0.3">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row>
    <row r="111" spans="1:183" x14ac:dyDescent="0.3">
      <c r="A111" s="12"/>
      <c r="B111" s="3"/>
      <c r="C111" s="74"/>
      <c r="D111" s="12"/>
      <c r="E111" s="12"/>
      <c r="F111" s="12"/>
      <c r="G111" s="74"/>
      <c r="H111" s="12"/>
      <c r="I111" s="12"/>
      <c r="J111" s="12"/>
      <c r="K111" s="1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row>
    <row r="112" spans="1:183" x14ac:dyDescent="0.3">
      <c r="A112" s="12"/>
      <c r="B112" s="75"/>
      <c r="C112" s="74"/>
      <c r="D112" s="76"/>
      <c r="E112" s="76"/>
      <c r="F112" s="77" t="s">
        <v>105</v>
      </c>
      <c r="G112" s="74"/>
      <c r="H112" s="76"/>
      <c r="I112" s="76"/>
      <c r="J112" s="76"/>
      <c r="K112" s="1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row>
    <row r="113" spans="1:185" x14ac:dyDescent="0.3">
      <c r="A113" s="12"/>
      <c r="B113" s="76"/>
      <c r="C113" s="76"/>
      <c r="D113" s="76"/>
      <c r="E113" s="76"/>
      <c r="F113" s="104" t="s">
        <v>106</v>
      </c>
      <c r="G113" s="76"/>
      <c r="H113" s="76"/>
      <c r="I113" s="76"/>
      <c r="J113" s="76"/>
      <c r="K113" s="1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row>
    <row r="114" spans="1:185" x14ac:dyDescent="0.3">
      <c r="A114" s="57"/>
      <c r="B114" s="48"/>
      <c r="C114" s="48"/>
      <c r="D114" s="48"/>
      <c r="E114" s="50" t="s">
        <v>5</v>
      </c>
      <c r="F114" s="51" t="str">
        <f>$C$1</f>
        <v>R. Abbott</v>
      </c>
      <c r="G114" s="48"/>
      <c r="H114" s="58"/>
      <c r="I114" s="50" t="s">
        <v>10</v>
      </c>
      <c r="J114" s="59" t="str">
        <f>$G$2</f>
        <v>AA-SM-001-000</v>
      </c>
      <c r="K114" s="60"/>
      <c r="L114" s="61"/>
      <c r="M114" s="52"/>
      <c r="N114" s="52"/>
      <c r="O114" s="52"/>
      <c r="P114" s="5"/>
      <c r="AD114" s="8"/>
    </row>
    <row r="115" spans="1:185" s="10" customFormat="1" x14ac:dyDescent="0.3">
      <c r="A115" s="48"/>
      <c r="B115" s="48"/>
      <c r="C115" s="48"/>
      <c r="D115" s="48"/>
      <c r="E115" s="50" t="s">
        <v>6</v>
      </c>
      <c r="F115" s="58" t="str">
        <f>$C$2</f>
        <v xml:space="preserve"> </v>
      </c>
      <c r="G115" s="48"/>
      <c r="H115" s="58"/>
      <c r="I115" s="50" t="s">
        <v>11</v>
      </c>
      <c r="J115" s="60" t="str">
        <f>$G$3</f>
        <v>B</v>
      </c>
      <c r="K115" s="60"/>
      <c r="L115" s="61"/>
      <c r="M115" s="52">
        <v>1</v>
      </c>
      <c r="N115" s="52"/>
      <c r="O115" s="52"/>
      <c r="P115" s="5"/>
      <c r="Q115" s="9"/>
      <c r="R115" s="7"/>
      <c r="S115" s="7"/>
      <c r="T115" s="2"/>
      <c r="U115" s="2"/>
      <c r="V115" s="2"/>
      <c r="W115" s="2"/>
      <c r="X115" s="2"/>
      <c r="Y115" s="2"/>
      <c r="Z115" s="2"/>
      <c r="AA115" s="2"/>
      <c r="AB115" s="2"/>
      <c r="AC115" s="2"/>
      <c r="AD115" s="2"/>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row>
    <row r="116" spans="1:185" x14ac:dyDescent="0.3">
      <c r="A116" s="48"/>
      <c r="B116" s="48"/>
      <c r="C116" s="48"/>
      <c r="D116" s="48"/>
      <c r="E116" s="50" t="s">
        <v>1</v>
      </c>
      <c r="F116" s="58" t="str">
        <f>$C$3</f>
        <v>20/10/2013</v>
      </c>
      <c r="G116" s="48"/>
      <c r="H116" s="58"/>
      <c r="I116" s="50" t="s">
        <v>12</v>
      </c>
      <c r="J116" s="51" t="str">
        <f>L116&amp;" of "&amp;$G$1</f>
        <v>3 of 16</v>
      </c>
      <c r="K116" s="58"/>
      <c r="L116" s="61">
        <f>SUM($M$1:M115)</f>
        <v>3</v>
      </c>
      <c r="M116" s="52"/>
      <c r="N116" s="52"/>
      <c r="O116" s="52"/>
      <c r="P116" s="5"/>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row>
    <row r="117" spans="1:185" x14ac:dyDescent="0.3">
      <c r="A117" s="48"/>
      <c r="B117" s="48"/>
      <c r="C117" s="48"/>
      <c r="D117" s="48"/>
      <c r="E117" s="50" t="s">
        <v>63</v>
      </c>
      <c r="F117" s="58" t="str">
        <f>$C$5</f>
        <v>STANDARD SPREADSHEET METHOD</v>
      </c>
      <c r="G117" s="48"/>
      <c r="H117" s="48"/>
      <c r="I117" s="62"/>
      <c r="J117" s="51"/>
      <c r="K117" s="48"/>
      <c r="L117" s="48"/>
      <c r="M117" s="52"/>
      <c r="N117" s="52"/>
      <c r="O117" s="52"/>
      <c r="P117" s="5"/>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row>
    <row r="118" spans="1:185" ht="15.6" x14ac:dyDescent="0.3">
      <c r="A118" s="12"/>
      <c r="B118" s="64" t="str">
        <f>$G$4</f>
        <v>SECTION PROPERTIES</v>
      </c>
      <c r="C118" s="12"/>
      <c r="D118" s="12"/>
      <c r="E118" s="12"/>
      <c r="F118" s="12"/>
      <c r="G118" s="12"/>
      <c r="H118" s="12"/>
      <c r="I118" s="12"/>
      <c r="J118" s="12"/>
      <c r="K118" s="1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row>
    <row r="119" spans="1:185" x14ac:dyDescent="0.3">
      <c r="A119" s="44"/>
      <c r="B119" s="11" t="s">
        <v>120</v>
      </c>
      <c r="C119" s="44"/>
      <c r="D119" s="44"/>
      <c r="E119" s="44"/>
    </row>
    <row r="120" spans="1:185" x14ac:dyDescent="0.3">
      <c r="A120" s="11"/>
      <c r="C120" s="11"/>
      <c r="D120" s="15"/>
      <c r="E120" s="11"/>
      <c r="F120" s="11"/>
      <c r="G120" s="11"/>
      <c r="H120" s="11"/>
      <c r="I120" s="11"/>
      <c r="J120" s="11"/>
      <c r="K120" s="11"/>
    </row>
    <row r="122" spans="1:185" x14ac:dyDescent="0.3">
      <c r="A122" s="30"/>
      <c r="B122" s="16" t="s">
        <v>37</v>
      </c>
      <c r="C122" s="20">
        <v>20</v>
      </c>
      <c r="D122" s="18" t="s">
        <v>4</v>
      </c>
      <c r="U122" s="2" t="s">
        <v>77</v>
      </c>
    </row>
    <row r="123" spans="1:185" x14ac:dyDescent="0.3">
      <c r="A123" s="18"/>
      <c r="B123" s="32" t="s">
        <v>76</v>
      </c>
      <c r="C123" s="33">
        <v>30</v>
      </c>
      <c r="D123" s="4" t="s">
        <v>4</v>
      </c>
      <c r="E123" s="18"/>
      <c r="F123" s="18"/>
      <c r="G123" s="18"/>
    </row>
    <row r="124" spans="1:185" x14ac:dyDescent="0.3">
      <c r="A124" s="18"/>
      <c r="B124" s="32" t="s">
        <v>78</v>
      </c>
      <c r="C124" s="33">
        <v>15</v>
      </c>
      <c r="D124" s="4" t="s">
        <v>4</v>
      </c>
      <c r="U124" s="42"/>
    </row>
    <row r="125" spans="1:185" x14ac:dyDescent="0.3">
      <c r="A125" s="18"/>
      <c r="B125" s="32" t="s">
        <v>79</v>
      </c>
      <c r="C125" s="33">
        <v>25</v>
      </c>
      <c r="D125" s="4" t="s">
        <v>4</v>
      </c>
    </row>
    <row r="126" spans="1:185" x14ac:dyDescent="0.3">
      <c r="A126" s="18"/>
      <c r="B126" s="32"/>
      <c r="C126" s="33"/>
    </row>
    <row r="127" spans="1:185" x14ac:dyDescent="0.3">
      <c r="A127" s="18"/>
      <c r="B127" s="18"/>
      <c r="U127" s="42"/>
    </row>
    <row r="128" spans="1:185" x14ac:dyDescent="0.3">
      <c r="A128" s="18"/>
    </row>
    <row r="129" spans="1:21" x14ac:dyDescent="0.3">
      <c r="A129" s="11"/>
      <c r="B129" s="31" t="s">
        <v>28</v>
      </c>
    </row>
    <row r="130" spans="1:21" x14ac:dyDescent="0.3">
      <c r="B130" s="16" t="s">
        <v>31</v>
      </c>
      <c r="C130" s="4" t="str">
        <f ca="1">[1]!xlv(C132)</f>
        <v>b × d - bᵢ × dᵢ</v>
      </c>
    </row>
    <row r="131" spans="1:21" x14ac:dyDescent="0.3">
      <c r="B131" s="16" t="s">
        <v>31</v>
      </c>
      <c r="C131" s="4" t="str">
        <f>[1]!xln(C132)</f>
        <v>20 × 30 - 15 × 25</v>
      </c>
      <c r="D131" s="11"/>
    </row>
    <row r="132" spans="1:21" x14ac:dyDescent="0.3">
      <c r="B132" s="16" t="s">
        <v>31</v>
      </c>
      <c r="C132" s="17">
        <f>C122*C123-C124*C125</f>
        <v>225</v>
      </c>
      <c r="D132" s="18" t="s">
        <v>41</v>
      </c>
    </row>
    <row r="134" spans="1:21" ht="15" x14ac:dyDescent="0.3">
      <c r="B134" s="31" t="s">
        <v>74</v>
      </c>
      <c r="H134" s="16" t="s">
        <v>50</v>
      </c>
      <c r="I134" s="4" t="str">
        <f ca="1">[1]!xlv(I136)</f>
        <v>Iᵧ + Iₓ</v>
      </c>
      <c r="U134" s="42"/>
    </row>
    <row r="135" spans="1:21" ht="15" x14ac:dyDescent="0.3">
      <c r="B135" s="32" t="s">
        <v>24</v>
      </c>
      <c r="C135" s="22">
        <f>C122/2</f>
        <v>10</v>
      </c>
      <c r="D135" s="4" t="s">
        <v>4</v>
      </c>
      <c r="H135" s="16" t="s">
        <v>50</v>
      </c>
      <c r="I135" s="4" t="str">
        <f>[1]!xln(I136)</f>
        <v>12969 + 25469</v>
      </c>
    </row>
    <row r="136" spans="1:21" ht="15" x14ac:dyDescent="0.3">
      <c r="B136" s="32" t="s">
        <v>26</v>
      </c>
      <c r="C136" s="22">
        <f>C123/2</f>
        <v>15</v>
      </c>
      <c r="D136" s="4" t="s">
        <v>4</v>
      </c>
      <c r="H136" s="16" t="s">
        <v>50</v>
      </c>
      <c r="I136" s="17">
        <f>G141+C141</f>
        <v>38437.5</v>
      </c>
      <c r="J136" s="18" t="s">
        <v>42</v>
      </c>
    </row>
    <row r="138" spans="1:21" x14ac:dyDescent="0.3">
      <c r="B138" s="31" t="s">
        <v>110</v>
      </c>
    </row>
    <row r="139" spans="1:21" x14ac:dyDescent="0.3">
      <c r="B139" s="16" t="s">
        <v>44</v>
      </c>
      <c r="C139" s="4" t="str">
        <f ca="1">[1]!xlv(C141)</f>
        <v>((b × d³) - (bᵢ × dᵢ³)) / 12</v>
      </c>
      <c r="F139" s="32" t="s">
        <v>45</v>
      </c>
      <c r="G139" s="4" t="str">
        <f ca="1">[1]!xlv(G141)</f>
        <v>((d × b³) - (dᵢ × bᵢ³)) / 12</v>
      </c>
    </row>
    <row r="140" spans="1:21" x14ac:dyDescent="0.3">
      <c r="B140" s="16" t="s">
        <v>44</v>
      </c>
      <c r="C140" s="4" t="str">
        <f>[1]!xln(C141)</f>
        <v>((20 × 30³) - (15 × 25³)) / 12</v>
      </c>
      <c r="F140" s="32" t="s">
        <v>45</v>
      </c>
      <c r="G140" s="4" t="str">
        <f>[1]!xln(G141)</f>
        <v>((30 × 20³) - (25 × 15³)) / 12</v>
      </c>
    </row>
    <row r="141" spans="1:21" x14ac:dyDescent="0.3">
      <c r="B141" s="16" t="s">
        <v>44</v>
      </c>
      <c r="C141" s="17">
        <f>((C122*C123^3)-(C124*C125^3))/12</f>
        <v>25468.75</v>
      </c>
      <c r="D141" s="18" t="s">
        <v>42</v>
      </c>
      <c r="F141" s="32" t="s">
        <v>45</v>
      </c>
      <c r="G141" s="38">
        <f>((C123*C122^3)-(C125*C124^3))/12</f>
        <v>12968.75</v>
      </c>
      <c r="H141" s="18" t="s">
        <v>42</v>
      </c>
    </row>
    <row r="143" spans="1:21" x14ac:dyDescent="0.3">
      <c r="B143" s="34" t="s">
        <v>36</v>
      </c>
    </row>
    <row r="144" spans="1:21" x14ac:dyDescent="0.3">
      <c r="B144" s="16" t="s">
        <v>46</v>
      </c>
      <c r="C144" s="4" t="str">
        <f ca="1">[1]!xlv(C146)</f>
        <v>(Iₓ / A)⁰·⁵</v>
      </c>
      <c r="F144" s="16" t="s">
        <v>47</v>
      </c>
      <c r="G144" s="4" t="str">
        <f ca="1">[1]!xlv(G146)</f>
        <v>(Iᵧ / A)⁰·⁵</v>
      </c>
    </row>
    <row r="145" spans="1:11" x14ac:dyDescent="0.3">
      <c r="B145" s="16" t="s">
        <v>46</v>
      </c>
      <c r="C145" s="4" t="str">
        <f>[1]!xln(C146)</f>
        <v>(25469 / 225)⁰·⁵</v>
      </c>
      <c r="F145" s="16" t="s">
        <v>47</v>
      </c>
      <c r="G145" s="4" t="str">
        <f>[1]!xln(G146)</f>
        <v>(12969 / 225)⁰·⁵</v>
      </c>
    </row>
    <row r="146" spans="1:11" x14ac:dyDescent="0.3">
      <c r="B146" s="16" t="s">
        <v>46</v>
      </c>
      <c r="C146" s="35">
        <f>(C141/C132)^0.5</f>
        <v>10.639287779003087</v>
      </c>
      <c r="D146" s="18" t="s">
        <v>4</v>
      </c>
      <c r="E146" s="18"/>
      <c r="F146" s="16" t="s">
        <v>47</v>
      </c>
      <c r="G146" s="22">
        <f>(G141/C132)^0.5</f>
        <v>7.592027982620249</v>
      </c>
      <c r="H146" s="18" t="s">
        <v>4</v>
      </c>
    </row>
    <row r="148" spans="1:11" x14ac:dyDescent="0.3">
      <c r="B148" s="31" t="s">
        <v>111</v>
      </c>
    </row>
    <row r="149" spans="1:11" x14ac:dyDescent="0.3">
      <c r="B149" s="16" t="s">
        <v>72</v>
      </c>
      <c r="C149" s="4" t="str">
        <f ca="1">[1]!xlv(C151)</f>
        <v>(b × d² - bᵢ × dᵢ²) / 4</v>
      </c>
      <c r="F149" s="32" t="s">
        <v>73</v>
      </c>
      <c r="G149" s="4" t="str">
        <f ca="1">[1]!xlv(G151)</f>
        <v>(d × b² - dᵢ × bᵢ²) / 4</v>
      </c>
    </row>
    <row r="150" spans="1:11" x14ac:dyDescent="0.3">
      <c r="A150" s="11"/>
      <c r="B150" s="16" t="s">
        <v>72</v>
      </c>
      <c r="C150" s="4" t="str">
        <f>[1]!xln(C151)</f>
        <v>(20 × 30² - 15 × 25²) / 4</v>
      </c>
      <c r="F150" s="32" t="s">
        <v>73</v>
      </c>
      <c r="G150" s="4" t="str">
        <f>[1]!xln(G151)</f>
        <v>(30 × 20² - 25 × 15²) / 4</v>
      </c>
      <c r="K150" s="11"/>
    </row>
    <row r="151" spans="1:11" x14ac:dyDescent="0.3">
      <c r="A151" s="11"/>
      <c r="B151" s="16" t="s">
        <v>72</v>
      </c>
      <c r="C151" s="38">
        <f>(C122*C123^2-C124*C125^2)/4</f>
        <v>2156.25</v>
      </c>
      <c r="D151" s="38" t="s">
        <v>33</v>
      </c>
      <c r="E151" s="38"/>
      <c r="F151" s="43" t="s">
        <v>73</v>
      </c>
      <c r="G151" s="38">
        <f>(C123*C122^2-C125*C124^2)/4</f>
        <v>1593.75</v>
      </c>
      <c r="H151" s="4" t="s">
        <v>33</v>
      </c>
      <c r="K151" s="11"/>
    </row>
    <row r="152" spans="1:11" x14ac:dyDescent="0.3">
      <c r="C152" s="38"/>
      <c r="D152" s="38"/>
      <c r="E152" s="38"/>
      <c r="F152" s="38"/>
      <c r="G152" s="38"/>
    </row>
    <row r="153" spans="1:11" x14ac:dyDescent="0.3">
      <c r="B153" s="31" t="s">
        <v>115</v>
      </c>
    </row>
    <row r="154" spans="1:11" x14ac:dyDescent="0.3">
      <c r="B154" s="32" t="s">
        <v>117</v>
      </c>
      <c r="C154" s="38" t="str">
        <f ca="1">[1]!xlv(C156)</f>
        <v>Zₓ × d / (2 × Iₓ)</v>
      </c>
      <c r="D154" s="38"/>
      <c r="E154" s="38"/>
      <c r="F154" s="32" t="s">
        <v>118</v>
      </c>
      <c r="G154" s="38" t="str">
        <f ca="1">[1]!xlv(G156)</f>
        <v>Zᵧ × b / (2 × Iᵧ)</v>
      </c>
      <c r="H154" s="38"/>
    </row>
    <row r="155" spans="1:11" x14ac:dyDescent="0.3">
      <c r="B155" s="32" t="s">
        <v>117</v>
      </c>
      <c r="C155" s="38" t="str">
        <f>[1]!xln(C156)</f>
        <v>2156 × 30 / (2 × 25469)</v>
      </c>
      <c r="D155" s="38"/>
      <c r="E155" s="38"/>
      <c r="F155" s="32" t="s">
        <v>118</v>
      </c>
      <c r="G155" s="38" t="str">
        <f>[1]!xln(G156)</f>
        <v>1594 × 20 / (2 × 12969)</v>
      </c>
      <c r="H155" s="38"/>
    </row>
    <row r="156" spans="1:11" x14ac:dyDescent="0.3">
      <c r="B156" s="32" t="s">
        <v>117</v>
      </c>
      <c r="C156" s="87">
        <f>C151*C123/(2*C141)</f>
        <v>1.2699386503067485</v>
      </c>
      <c r="D156" s="87"/>
      <c r="E156" s="87"/>
      <c r="F156" s="32" t="s">
        <v>118</v>
      </c>
      <c r="G156" s="87">
        <f>G151*C122/(2*G141)</f>
        <v>1.2289156626506024</v>
      </c>
      <c r="H156" s="38"/>
    </row>
    <row r="164" spans="1:185" x14ac:dyDescent="0.3">
      <c r="A164" s="12"/>
      <c r="B164" s="3"/>
      <c r="C164" s="74"/>
      <c r="D164" s="12"/>
      <c r="E164" s="12"/>
      <c r="F164" s="12"/>
      <c r="G164" s="74"/>
      <c r="H164" s="12"/>
      <c r="I164" s="12"/>
      <c r="J164" s="12"/>
      <c r="K164" s="12"/>
    </row>
    <row r="165" spans="1:185" x14ac:dyDescent="0.3">
      <c r="A165" s="12"/>
      <c r="B165" s="75"/>
      <c r="C165" s="74"/>
      <c r="D165" s="76"/>
      <c r="E165" s="76"/>
      <c r="F165" s="77" t="s">
        <v>105</v>
      </c>
      <c r="G165" s="74"/>
      <c r="H165" s="76"/>
      <c r="I165" s="76"/>
      <c r="J165" s="76"/>
      <c r="K165" s="12"/>
    </row>
    <row r="166" spans="1:185" x14ac:dyDescent="0.3">
      <c r="A166" s="12"/>
      <c r="B166" s="76"/>
      <c r="C166" s="76"/>
      <c r="D166" s="76"/>
      <c r="E166" s="76"/>
      <c r="F166" s="104" t="s">
        <v>106</v>
      </c>
      <c r="G166" s="76"/>
      <c r="H166" s="76"/>
      <c r="I166" s="76"/>
      <c r="J166" s="76"/>
      <c r="K166" s="12"/>
    </row>
    <row r="167" spans="1:185" x14ac:dyDescent="0.3">
      <c r="A167" s="57"/>
      <c r="B167" s="48"/>
      <c r="C167" s="48"/>
      <c r="D167" s="48"/>
      <c r="E167" s="50" t="s">
        <v>5</v>
      </c>
      <c r="F167" s="51" t="str">
        <f>$C$1</f>
        <v>R. Abbott</v>
      </c>
      <c r="G167" s="48"/>
      <c r="H167" s="58"/>
      <c r="I167" s="50" t="s">
        <v>10</v>
      </c>
      <c r="J167" s="59" t="str">
        <f>$G$2</f>
        <v>AA-SM-001-000</v>
      </c>
      <c r="K167" s="60"/>
      <c r="L167" s="61"/>
      <c r="M167" s="52"/>
      <c r="N167" s="52"/>
      <c r="O167" s="52"/>
      <c r="P167" s="5"/>
      <c r="AD167" s="8"/>
    </row>
    <row r="168" spans="1:185" s="10" customFormat="1" x14ac:dyDescent="0.3">
      <c r="A168" s="48"/>
      <c r="B168" s="48"/>
      <c r="C168" s="48"/>
      <c r="D168" s="48"/>
      <c r="E168" s="50" t="s">
        <v>6</v>
      </c>
      <c r="F168" s="58" t="str">
        <f>$C$2</f>
        <v xml:space="preserve"> </v>
      </c>
      <c r="G168" s="48"/>
      <c r="H168" s="58"/>
      <c r="I168" s="50" t="s">
        <v>11</v>
      </c>
      <c r="J168" s="60" t="str">
        <f>$G$3</f>
        <v>B</v>
      </c>
      <c r="K168" s="60"/>
      <c r="L168" s="61"/>
      <c r="M168" s="52">
        <v>1</v>
      </c>
      <c r="N168" s="52"/>
      <c r="O168" s="52"/>
      <c r="P168" s="5"/>
      <c r="Q168" s="9"/>
      <c r="R168" s="7"/>
      <c r="S168" s="7"/>
      <c r="T168" s="2"/>
      <c r="U168" s="2"/>
      <c r="V168" s="2"/>
      <c r="W168" s="2"/>
      <c r="X168" s="2"/>
      <c r="Y168" s="2"/>
      <c r="Z168" s="2"/>
      <c r="AA168" s="2"/>
      <c r="AB168" s="2"/>
      <c r="AC168" s="2"/>
      <c r="AD168" s="2"/>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row>
    <row r="169" spans="1:185" x14ac:dyDescent="0.3">
      <c r="A169" s="48"/>
      <c r="B169" s="48"/>
      <c r="C169" s="48"/>
      <c r="D169" s="48"/>
      <c r="E169" s="50" t="s">
        <v>1</v>
      </c>
      <c r="F169" s="58" t="str">
        <f>$C$3</f>
        <v>20/10/2013</v>
      </c>
      <c r="G169" s="48"/>
      <c r="H169" s="58"/>
      <c r="I169" s="50" t="s">
        <v>12</v>
      </c>
      <c r="J169" s="51" t="str">
        <f>L169&amp;" of "&amp;$G$1</f>
        <v>4 of 16</v>
      </c>
      <c r="K169" s="58"/>
      <c r="L169" s="61">
        <f>SUM($M$1:M168)</f>
        <v>4</v>
      </c>
      <c r="M169" s="52"/>
      <c r="N169" s="52"/>
      <c r="O169" s="52"/>
      <c r="P169" s="5"/>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row>
    <row r="170" spans="1:185" x14ac:dyDescent="0.3">
      <c r="A170" s="48"/>
      <c r="B170" s="48"/>
      <c r="C170" s="48"/>
      <c r="D170" s="48"/>
      <c r="E170" s="50" t="s">
        <v>63</v>
      </c>
      <c r="F170" s="58" t="str">
        <f>$C$5</f>
        <v>STANDARD SPREADSHEET METHOD</v>
      </c>
      <c r="G170" s="48"/>
      <c r="H170" s="48"/>
      <c r="I170" s="62"/>
      <c r="J170" s="51"/>
      <c r="K170" s="48"/>
      <c r="L170" s="48"/>
      <c r="M170" s="52"/>
      <c r="N170" s="52"/>
      <c r="O170" s="52"/>
      <c r="P170" s="5"/>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row>
    <row r="171" spans="1:185" ht="15.6" x14ac:dyDescent="0.3">
      <c r="A171" s="12"/>
      <c r="B171" s="64" t="str">
        <f>$G$4</f>
        <v>SECTION PROPERTIES</v>
      </c>
      <c r="C171" s="12"/>
      <c r="D171" s="12"/>
      <c r="E171" s="12"/>
      <c r="F171" s="12"/>
      <c r="G171" s="12"/>
      <c r="H171" s="12"/>
      <c r="I171" s="12"/>
      <c r="J171" s="12"/>
      <c r="K171" s="1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row>
    <row r="172" spans="1:185" x14ac:dyDescent="0.3">
      <c r="A172" s="44"/>
      <c r="B172" s="4" t="s">
        <v>130</v>
      </c>
      <c r="C172" s="44"/>
      <c r="D172" s="44"/>
      <c r="E172" s="44"/>
    </row>
    <row r="173" spans="1:185" x14ac:dyDescent="0.3">
      <c r="A173" s="11"/>
      <c r="B173" s="11"/>
      <c r="C173" s="11"/>
      <c r="D173" s="15"/>
      <c r="E173" s="11"/>
      <c r="F173" s="11"/>
      <c r="G173" s="11"/>
      <c r="H173" s="11"/>
      <c r="I173" s="11"/>
      <c r="J173" s="11"/>
      <c r="K173" s="11"/>
    </row>
    <row r="174" spans="1:185" x14ac:dyDescent="0.3">
      <c r="A174" s="30"/>
    </row>
    <row r="175" spans="1:185" x14ac:dyDescent="0.3">
      <c r="B175" s="18"/>
      <c r="C175" s="16"/>
      <c r="D175" s="16"/>
      <c r="E175" s="18"/>
      <c r="F175" s="18"/>
      <c r="G175" s="18"/>
      <c r="H175" s="34" t="s">
        <v>36</v>
      </c>
      <c r="K175" s="18"/>
    </row>
    <row r="176" spans="1:185" x14ac:dyDescent="0.3">
      <c r="B176" s="16" t="s">
        <v>25</v>
      </c>
      <c r="C176" s="20">
        <v>0.5</v>
      </c>
      <c r="D176" s="18" t="s">
        <v>4</v>
      </c>
    </row>
    <row r="177" spans="2:11" x14ac:dyDescent="0.3">
      <c r="B177" s="16"/>
      <c r="C177" s="20"/>
      <c r="D177" s="18"/>
      <c r="H177" s="16" t="s">
        <v>46</v>
      </c>
      <c r="I177" s="4" t="str">
        <f ca="1">[1]!xlv(I179)</f>
        <v>(Iₓ / A)⁰·⁵</v>
      </c>
    </row>
    <row r="178" spans="2:11" x14ac:dyDescent="0.3">
      <c r="B178" s="32"/>
      <c r="C178" s="33"/>
      <c r="H178" s="16" t="s">
        <v>46</v>
      </c>
      <c r="I178" s="4" t="str">
        <f>[1]!xln(I179)</f>
        <v>(0.0491 / 0.785)⁰·⁵</v>
      </c>
      <c r="K178" s="18"/>
    </row>
    <row r="179" spans="2:11" x14ac:dyDescent="0.3">
      <c r="B179" s="18"/>
      <c r="C179" s="99"/>
      <c r="D179" s="99"/>
      <c r="E179" s="99"/>
      <c r="F179" s="99"/>
      <c r="G179" s="99"/>
      <c r="H179" s="100" t="s">
        <v>46</v>
      </c>
      <c r="I179" s="100">
        <f>(C192/C183)^0.5</f>
        <v>0.25</v>
      </c>
      <c r="J179" s="18" t="s">
        <v>4</v>
      </c>
      <c r="K179" s="18"/>
    </row>
    <row r="180" spans="2:11" x14ac:dyDescent="0.3">
      <c r="B180" s="31" t="s">
        <v>28</v>
      </c>
      <c r="C180" s="99"/>
      <c r="D180" s="99"/>
      <c r="E180" s="99"/>
      <c r="F180" s="99"/>
      <c r="G180" s="99"/>
      <c r="H180" s="99"/>
      <c r="I180" s="99"/>
    </row>
    <row r="181" spans="2:11" x14ac:dyDescent="0.3">
      <c r="B181" s="16" t="s">
        <v>31</v>
      </c>
      <c r="C181" s="99" t="str">
        <f ca="1">[1]!xlv(C183)</f>
        <v>π × (R²)</v>
      </c>
      <c r="D181" s="99"/>
      <c r="E181" s="99"/>
      <c r="F181" s="99"/>
      <c r="G181" s="99"/>
      <c r="H181" s="100" t="s">
        <v>47</v>
      </c>
      <c r="I181" s="99" t="str">
        <f ca="1">[1]!xlv(I183)</f>
        <v>(Iᵧ / A)⁰·⁵</v>
      </c>
    </row>
    <row r="182" spans="2:11" x14ac:dyDescent="0.3">
      <c r="B182" s="16" t="s">
        <v>31</v>
      </c>
      <c r="C182" s="99" t="str">
        <f>[1]!xln(C183,1)</f>
        <v>π × (0.5²)</v>
      </c>
      <c r="D182" s="99"/>
      <c r="E182" s="99"/>
      <c r="F182" s="99"/>
      <c r="G182" s="99"/>
      <c r="H182" s="100" t="s">
        <v>47</v>
      </c>
      <c r="I182" s="99" t="str">
        <f>[1]!xln(I183)</f>
        <v>(0.0491 / 0.785)⁰·⁵</v>
      </c>
    </row>
    <row r="183" spans="2:11" x14ac:dyDescent="0.3">
      <c r="B183" s="16" t="s">
        <v>31</v>
      </c>
      <c r="C183" s="100">
        <f>PI()*(C176^2)</f>
        <v>0.78539816339744828</v>
      </c>
      <c r="D183" s="101" t="s">
        <v>43</v>
      </c>
      <c r="E183" s="99"/>
      <c r="F183" s="99"/>
      <c r="G183" s="99"/>
      <c r="H183" s="100" t="s">
        <v>47</v>
      </c>
      <c r="I183" s="99">
        <f>(F192/C183)^0.5</f>
        <v>0.25</v>
      </c>
      <c r="J183" s="18" t="s">
        <v>4</v>
      </c>
    </row>
    <row r="184" spans="2:11" x14ac:dyDescent="0.3">
      <c r="C184" s="99"/>
      <c r="D184" s="99"/>
      <c r="E184" s="99"/>
      <c r="F184" s="99"/>
      <c r="G184" s="99"/>
      <c r="H184" s="99"/>
      <c r="I184" s="99"/>
    </row>
    <row r="185" spans="2:11" x14ac:dyDescent="0.3">
      <c r="B185" s="31" t="s">
        <v>74</v>
      </c>
      <c r="C185" s="99"/>
      <c r="D185" s="99"/>
      <c r="E185" s="99"/>
      <c r="F185" s="99"/>
      <c r="G185" s="99"/>
      <c r="H185" s="99"/>
      <c r="I185" s="99"/>
    </row>
    <row r="186" spans="2:11" x14ac:dyDescent="0.3">
      <c r="B186" s="32" t="s">
        <v>24</v>
      </c>
      <c r="C186" s="99">
        <f>C176</f>
        <v>0.5</v>
      </c>
      <c r="D186" s="99" t="s">
        <v>4</v>
      </c>
      <c r="E186" s="99"/>
      <c r="F186" s="99"/>
      <c r="G186" s="99"/>
      <c r="H186" s="99"/>
      <c r="I186" s="99"/>
    </row>
    <row r="187" spans="2:11" x14ac:dyDescent="0.3">
      <c r="B187" s="32" t="s">
        <v>26</v>
      </c>
      <c r="C187" s="99">
        <f>C176</f>
        <v>0.5</v>
      </c>
      <c r="D187" s="99" t="s">
        <v>4</v>
      </c>
      <c r="E187" s="99"/>
      <c r="F187" s="99"/>
      <c r="G187" s="99"/>
      <c r="H187" s="99"/>
      <c r="I187" s="99"/>
    </row>
    <row r="188" spans="2:11" x14ac:dyDescent="0.3">
      <c r="C188" s="99"/>
      <c r="D188" s="99"/>
      <c r="E188" s="99"/>
      <c r="F188" s="99"/>
      <c r="G188" s="99"/>
      <c r="H188" s="99"/>
      <c r="I188" s="99"/>
    </row>
    <row r="189" spans="2:11" x14ac:dyDescent="0.3">
      <c r="B189" s="31" t="s">
        <v>110</v>
      </c>
      <c r="C189" s="99"/>
      <c r="D189" s="99"/>
      <c r="E189" s="99"/>
      <c r="F189" s="99"/>
      <c r="G189" s="102"/>
      <c r="H189" s="100"/>
      <c r="I189" s="101"/>
    </row>
    <row r="190" spans="2:11" ht="15" x14ac:dyDescent="0.3">
      <c r="B190" s="16" t="s">
        <v>44</v>
      </c>
      <c r="C190" s="99" t="str">
        <f ca="1">[1]!xlv(C192)</f>
        <v>π × (R⁴) / 4</v>
      </c>
      <c r="D190" s="99"/>
      <c r="E190" s="103" t="s">
        <v>45</v>
      </c>
      <c r="F190" s="99" t="str">
        <f ca="1">[1]!xlv(F192)</f>
        <v>π × (R⁴) / 4</v>
      </c>
      <c r="G190" s="99"/>
      <c r="H190" s="16" t="s">
        <v>50</v>
      </c>
      <c r="I190" s="99" t="str">
        <f ca="1">[1]!xlv(I192)</f>
        <v>Iₓ + Iₓ</v>
      </c>
    </row>
    <row r="191" spans="2:11" ht="15" x14ac:dyDescent="0.3">
      <c r="B191" s="16" t="s">
        <v>44</v>
      </c>
      <c r="C191" s="99" t="str">
        <f>[1]!xln(C192)</f>
        <v>π × (0.5⁴) / 4</v>
      </c>
      <c r="D191" s="99"/>
      <c r="E191" s="103" t="s">
        <v>45</v>
      </c>
      <c r="F191" s="99" t="str">
        <f>[1]!xln(F192)</f>
        <v>π × (0.5⁴) / 4</v>
      </c>
      <c r="G191" s="99"/>
      <c r="H191" s="16" t="s">
        <v>50</v>
      </c>
      <c r="I191" s="99" t="str">
        <f>[1]!xln(I192)</f>
        <v>0.0491 + 0.0491</v>
      </c>
    </row>
    <row r="192" spans="2:11" ht="15" x14ac:dyDescent="0.3">
      <c r="B192" s="16" t="s">
        <v>44</v>
      </c>
      <c r="C192" s="100">
        <f>PI()*(C176^4)/4</f>
        <v>4.9087385212340517E-2</v>
      </c>
      <c r="D192" s="101" t="s">
        <v>42</v>
      </c>
      <c r="E192" s="103" t="s">
        <v>45</v>
      </c>
      <c r="F192" s="99">
        <f>PI()*(C176^4)/4</f>
        <v>4.9087385212340517E-2</v>
      </c>
      <c r="G192" s="101" t="s">
        <v>42</v>
      </c>
      <c r="H192" s="16" t="s">
        <v>50</v>
      </c>
      <c r="I192" s="100">
        <f>C192+C192</f>
        <v>9.8174770424681035E-2</v>
      </c>
      <c r="J192" s="18" t="s">
        <v>42</v>
      </c>
    </row>
    <row r="193" spans="1:24" x14ac:dyDescent="0.3">
      <c r="C193" s="99"/>
      <c r="D193" s="99"/>
      <c r="E193" s="99"/>
      <c r="F193" s="99"/>
      <c r="G193" s="99"/>
      <c r="H193" s="99"/>
      <c r="I193" s="99"/>
      <c r="X193" s="112"/>
    </row>
    <row r="194" spans="1:24" x14ac:dyDescent="0.3">
      <c r="B194" s="31" t="s">
        <v>111</v>
      </c>
      <c r="C194" s="99"/>
      <c r="D194" s="99"/>
      <c r="E194" s="99"/>
      <c r="F194" s="99"/>
      <c r="G194" s="99"/>
      <c r="H194" s="99"/>
      <c r="I194" s="99"/>
    </row>
    <row r="195" spans="1:24" x14ac:dyDescent="0.3">
      <c r="B195" s="16" t="s">
        <v>72</v>
      </c>
      <c r="C195" s="99" t="str">
        <f ca="1">[1]!xlv(C197)</f>
        <v>((R × 2)³) / 6</v>
      </c>
      <c r="D195" s="99"/>
      <c r="E195" s="99"/>
      <c r="F195" s="99"/>
      <c r="G195" s="103"/>
      <c r="H195" s="99"/>
      <c r="I195" s="99"/>
    </row>
    <row r="196" spans="1:24" x14ac:dyDescent="0.3">
      <c r="A196" s="11"/>
      <c r="B196" s="16" t="s">
        <v>72</v>
      </c>
      <c r="C196" s="99" t="str">
        <f>[1]!xln(C197)</f>
        <v>((0.5 × 2)³) / 6</v>
      </c>
      <c r="D196" s="99"/>
      <c r="E196" s="99"/>
      <c r="F196" s="99"/>
      <c r="G196" s="103"/>
      <c r="H196" s="99"/>
      <c r="I196" s="99"/>
    </row>
    <row r="197" spans="1:24" x14ac:dyDescent="0.3">
      <c r="A197" s="11"/>
      <c r="B197" s="16" t="s">
        <v>72</v>
      </c>
      <c r="C197" s="99">
        <f>((C176*2)^3)/6</f>
        <v>0.16666666666666666</v>
      </c>
      <c r="D197" s="99" t="s">
        <v>33</v>
      </c>
      <c r="E197" s="99"/>
      <c r="F197" s="99"/>
      <c r="G197" s="103"/>
      <c r="H197" s="99"/>
      <c r="I197" s="99"/>
    </row>
    <row r="198" spans="1:24" x14ac:dyDescent="0.3">
      <c r="C198" s="99"/>
      <c r="D198" s="99"/>
      <c r="E198" s="99"/>
      <c r="F198" s="99"/>
      <c r="G198" s="100"/>
      <c r="H198" s="99"/>
      <c r="I198" s="99"/>
      <c r="J198" s="87"/>
      <c r="K198" s="11"/>
    </row>
    <row r="199" spans="1:24" x14ac:dyDescent="0.3">
      <c r="B199" s="31" t="s">
        <v>115</v>
      </c>
      <c r="K199" s="11"/>
    </row>
    <row r="200" spans="1:24" x14ac:dyDescent="0.3">
      <c r="B200" s="16" t="s">
        <v>80</v>
      </c>
      <c r="C200" s="99" t="str">
        <f ca="1">[1]!xlv(C202)</f>
        <v>32 × (R × 2) × ((R × 2)³) / (6 × π × ((R × 2)⁴))</v>
      </c>
      <c r="D200" s="99"/>
      <c r="E200" s="99"/>
      <c r="F200" s="99"/>
      <c r="G200" s="103"/>
      <c r="H200" s="99"/>
      <c r="I200" s="99"/>
    </row>
    <row r="201" spans="1:24" x14ac:dyDescent="0.3">
      <c r="B201" s="16" t="s">
        <v>80</v>
      </c>
      <c r="C201" s="99" t="str">
        <f>[1]!xln(C202)</f>
        <v>32 × (0.5 × 2) × ((0.5 × 2)³) / (6 × π × ((0.5 × 2)⁴))</v>
      </c>
      <c r="G201" s="16"/>
    </row>
    <row r="202" spans="1:24" x14ac:dyDescent="0.3">
      <c r="B202" s="16" t="s">
        <v>80</v>
      </c>
      <c r="C202" s="99">
        <f>32*(C176*2)*((C176*2)^3)/(6*PI()*((C176*2)^4))</f>
        <v>1.6976527263135504</v>
      </c>
      <c r="G202" s="16"/>
    </row>
    <row r="204" spans="1:24" x14ac:dyDescent="0.3">
      <c r="D204" s="25"/>
      <c r="E204" s="18"/>
    </row>
    <row r="206" spans="1:24" x14ac:dyDescent="0.3">
      <c r="I206" s="23"/>
    </row>
    <row r="207" spans="1:24" x14ac:dyDescent="0.3">
      <c r="C207" s="16"/>
      <c r="D207" s="28"/>
      <c r="E207" s="18"/>
      <c r="F207" s="23"/>
      <c r="G207" s="23"/>
      <c r="H207" s="23"/>
    </row>
    <row r="208" spans="1:24" x14ac:dyDescent="0.3">
      <c r="C208" s="16"/>
      <c r="D208" s="28"/>
      <c r="E208" s="18"/>
      <c r="F208" s="23"/>
      <c r="G208" s="23"/>
      <c r="H208" s="23"/>
    </row>
    <row r="219" spans="1:185" x14ac:dyDescent="0.3">
      <c r="A219" s="12"/>
      <c r="B219" s="3"/>
      <c r="C219" s="74"/>
      <c r="D219" s="12"/>
      <c r="E219" s="12"/>
      <c r="F219" s="12"/>
      <c r="G219" s="74"/>
      <c r="H219" s="12"/>
      <c r="I219" s="12"/>
      <c r="J219" s="12"/>
      <c r="K219" s="12"/>
    </row>
    <row r="220" spans="1:185" x14ac:dyDescent="0.3">
      <c r="A220" s="12"/>
      <c r="B220" s="75"/>
      <c r="C220" s="74"/>
      <c r="D220" s="76"/>
      <c r="E220" s="76"/>
      <c r="F220" s="77" t="s">
        <v>105</v>
      </c>
      <c r="G220" s="74"/>
      <c r="H220" s="76"/>
      <c r="I220" s="76"/>
      <c r="J220" s="76"/>
      <c r="K220" s="12"/>
    </row>
    <row r="221" spans="1:185" x14ac:dyDescent="0.3">
      <c r="A221" s="12"/>
      <c r="B221" s="76"/>
      <c r="C221" s="76"/>
      <c r="D221" s="76"/>
      <c r="E221" s="76"/>
      <c r="F221" s="104" t="s">
        <v>106</v>
      </c>
      <c r="G221" s="76"/>
      <c r="H221" s="76"/>
      <c r="I221" s="76"/>
      <c r="J221" s="76"/>
      <c r="K221" s="12"/>
    </row>
    <row r="222" spans="1:185" x14ac:dyDescent="0.3">
      <c r="A222" s="57"/>
      <c r="B222" s="48"/>
      <c r="C222" s="48"/>
      <c r="D222" s="48"/>
      <c r="E222" s="50" t="s">
        <v>5</v>
      </c>
      <c r="F222" s="51" t="str">
        <f>$C$1</f>
        <v>R. Abbott</v>
      </c>
      <c r="G222" s="48"/>
      <c r="H222" s="58"/>
      <c r="I222" s="50" t="s">
        <v>10</v>
      </c>
      <c r="J222" s="59" t="str">
        <f>$G$2</f>
        <v>AA-SM-001-000</v>
      </c>
      <c r="K222" s="60"/>
      <c r="L222" s="61"/>
      <c r="M222" s="52"/>
      <c r="N222" s="52"/>
      <c r="O222" s="52"/>
      <c r="P222" s="5"/>
      <c r="AD222" s="8"/>
    </row>
    <row r="223" spans="1:185" s="10" customFormat="1" x14ac:dyDescent="0.3">
      <c r="A223" s="48"/>
      <c r="B223" s="48"/>
      <c r="C223" s="48"/>
      <c r="D223" s="48"/>
      <c r="E223" s="50" t="s">
        <v>6</v>
      </c>
      <c r="F223" s="58" t="str">
        <f>$C$2</f>
        <v xml:space="preserve"> </v>
      </c>
      <c r="G223" s="48"/>
      <c r="H223" s="58"/>
      <c r="I223" s="50" t="s">
        <v>11</v>
      </c>
      <c r="J223" s="60" t="str">
        <f>$G$3</f>
        <v>B</v>
      </c>
      <c r="K223" s="60"/>
      <c r="L223" s="61"/>
      <c r="M223" s="52">
        <v>1</v>
      </c>
      <c r="N223" s="52"/>
      <c r="O223" s="52"/>
      <c r="P223" s="5"/>
      <c r="Q223" s="9"/>
      <c r="R223" s="7"/>
      <c r="S223" s="7"/>
      <c r="T223" s="2"/>
      <c r="U223" s="2"/>
      <c r="V223" s="2"/>
      <c r="W223" s="2"/>
      <c r="X223" s="2"/>
      <c r="Y223" s="2"/>
      <c r="Z223" s="2"/>
      <c r="AA223" s="2"/>
      <c r="AB223" s="2"/>
      <c r="AC223" s="2"/>
      <c r="AD223" s="2"/>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row>
    <row r="224" spans="1:185" x14ac:dyDescent="0.3">
      <c r="A224" s="48"/>
      <c r="B224" s="48"/>
      <c r="C224" s="48"/>
      <c r="D224" s="48"/>
      <c r="E224" s="50" t="s">
        <v>1</v>
      </c>
      <c r="F224" s="58" t="str">
        <f>$C$3</f>
        <v>20/10/2013</v>
      </c>
      <c r="G224" s="48"/>
      <c r="H224" s="58"/>
      <c r="I224" s="50" t="s">
        <v>12</v>
      </c>
      <c r="J224" s="51" t="str">
        <f>L224&amp;" of "&amp;$G$1</f>
        <v>5 of 16</v>
      </c>
      <c r="K224" s="58"/>
      <c r="L224" s="61">
        <f>SUM($M$1:M223)</f>
        <v>5</v>
      </c>
      <c r="M224" s="52"/>
      <c r="N224" s="52"/>
      <c r="O224" s="52"/>
      <c r="P224" s="5"/>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row>
    <row r="225" spans="1:185" x14ac:dyDescent="0.3">
      <c r="A225" s="48"/>
      <c r="B225" s="48"/>
      <c r="C225" s="48"/>
      <c r="D225" s="48"/>
      <c r="E225" s="50" t="s">
        <v>63</v>
      </c>
      <c r="F225" s="58" t="str">
        <f>$C$5</f>
        <v>STANDARD SPREADSHEET METHOD</v>
      </c>
      <c r="G225" s="48"/>
      <c r="H225" s="48"/>
      <c r="I225" s="62"/>
      <c r="J225" s="51"/>
      <c r="K225" s="48"/>
      <c r="L225" s="48"/>
      <c r="M225" s="52"/>
      <c r="N225" s="52"/>
      <c r="O225" s="52"/>
      <c r="P225" s="5"/>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row>
    <row r="226" spans="1:185" ht="15.6" x14ac:dyDescent="0.3">
      <c r="A226" s="12"/>
      <c r="B226" s="64" t="str">
        <f>$G$4</f>
        <v>SECTION PROPERTIES</v>
      </c>
      <c r="C226" s="12"/>
      <c r="D226" s="12"/>
      <c r="E226" s="12"/>
      <c r="F226" s="12"/>
      <c r="G226" s="12"/>
      <c r="H226" s="12"/>
      <c r="I226" s="12"/>
      <c r="J226" s="12"/>
      <c r="K226" s="1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row>
    <row r="227" spans="1:185" x14ac:dyDescent="0.3">
      <c r="A227" s="44"/>
      <c r="B227" s="4" t="s">
        <v>16</v>
      </c>
      <c r="C227" s="44"/>
      <c r="D227" s="44"/>
      <c r="E227" s="44"/>
    </row>
    <row r="228" spans="1:185" x14ac:dyDescent="0.3">
      <c r="A228" s="11"/>
      <c r="B228" s="11"/>
      <c r="C228" s="11"/>
      <c r="D228" s="15"/>
      <c r="E228" s="11"/>
      <c r="F228" s="11"/>
      <c r="G228" s="11"/>
      <c r="H228" s="11"/>
      <c r="I228" s="11"/>
      <c r="J228" s="11"/>
      <c r="K228" s="11"/>
    </row>
    <row r="229" spans="1:185" x14ac:dyDescent="0.3">
      <c r="A229" s="30"/>
    </row>
    <row r="230" spans="1:185" x14ac:dyDescent="0.3">
      <c r="B230" s="18"/>
      <c r="C230" s="16"/>
      <c r="D230" s="16"/>
      <c r="E230" s="18"/>
      <c r="F230" s="18"/>
      <c r="G230" s="18"/>
      <c r="H230" s="34" t="s">
        <v>36</v>
      </c>
      <c r="K230" s="18"/>
    </row>
    <row r="231" spans="1:185" x14ac:dyDescent="0.3">
      <c r="B231" s="16" t="s">
        <v>25</v>
      </c>
      <c r="C231" s="20">
        <v>6</v>
      </c>
      <c r="D231" s="18" t="s">
        <v>4</v>
      </c>
    </row>
    <row r="232" spans="1:185" x14ac:dyDescent="0.3">
      <c r="B232" s="16" t="s">
        <v>2</v>
      </c>
      <c r="C232" s="20">
        <v>5.5</v>
      </c>
      <c r="D232" s="18" t="s">
        <v>4</v>
      </c>
      <c r="H232" s="16" t="s">
        <v>46</v>
      </c>
      <c r="I232" s="4" t="str">
        <f ca="1">[1]!xlv(I234)</f>
        <v>(Iₓ / A)⁰·⁵</v>
      </c>
    </row>
    <row r="233" spans="1:185" x14ac:dyDescent="0.3">
      <c r="B233" s="32"/>
      <c r="C233" s="33"/>
      <c r="H233" s="16" t="s">
        <v>46</v>
      </c>
      <c r="I233" s="4" t="str">
        <f>[1]!xln(I234)</f>
        <v>(299 / 18.1)⁰·⁵</v>
      </c>
      <c r="K233" s="18"/>
    </row>
    <row r="234" spans="1:185" x14ac:dyDescent="0.3">
      <c r="B234" s="18"/>
      <c r="C234" s="99"/>
      <c r="D234" s="99"/>
      <c r="E234" s="99"/>
      <c r="F234" s="99"/>
      <c r="G234" s="99"/>
      <c r="H234" s="100" t="s">
        <v>46</v>
      </c>
      <c r="I234" s="100">
        <f>(C247/C238)^0.5</f>
        <v>4.0697051490249265</v>
      </c>
      <c r="J234" s="18" t="s">
        <v>4</v>
      </c>
      <c r="K234" s="18"/>
    </row>
    <row r="235" spans="1:185" x14ac:dyDescent="0.3">
      <c r="B235" s="31" t="s">
        <v>28</v>
      </c>
      <c r="C235" s="99"/>
      <c r="D235" s="99"/>
      <c r="E235" s="99"/>
      <c r="F235" s="99"/>
      <c r="G235" s="99"/>
      <c r="H235" s="99"/>
      <c r="I235" s="99"/>
    </row>
    <row r="236" spans="1:185" x14ac:dyDescent="0.3">
      <c r="B236" s="16" t="s">
        <v>31</v>
      </c>
      <c r="C236" s="99" t="str">
        <f ca="1">[1]!xlv(C238)</f>
        <v>π × (R² - r²)</v>
      </c>
      <c r="D236" s="99"/>
      <c r="E236" s="99"/>
      <c r="F236" s="99"/>
      <c r="G236" s="99"/>
      <c r="H236" s="100" t="s">
        <v>47</v>
      </c>
      <c r="I236" s="99" t="str">
        <f ca="1">[1]!xlv(I238)</f>
        <v>(Iᵧ / A)⁰·⁵</v>
      </c>
    </row>
    <row r="237" spans="1:185" x14ac:dyDescent="0.3">
      <c r="B237" s="16" t="s">
        <v>31</v>
      </c>
      <c r="C237" s="99" t="str">
        <f>[1]!xln(C238,1)</f>
        <v>π × (6² - 5.5²)</v>
      </c>
      <c r="D237" s="99"/>
      <c r="E237" s="99"/>
      <c r="F237" s="99"/>
      <c r="G237" s="99"/>
      <c r="H237" s="100" t="s">
        <v>47</v>
      </c>
      <c r="I237" s="99" t="str">
        <f>[1]!xln(I238)</f>
        <v>(299 / 18.1)⁰·⁵</v>
      </c>
    </row>
    <row r="238" spans="1:185" x14ac:dyDescent="0.3">
      <c r="B238" s="16" t="s">
        <v>31</v>
      </c>
      <c r="C238" s="100">
        <f>PI()*(C231^2-C232^2)</f>
        <v>18.06415775814131</v>
      </c>
      <c r="D238" s="101" t="s">
        <v>43</v>
      </c>
      <c r="E238" s="99"/>
      <c r="F238" s="99"/>
      <c r="G238" s="99"/>
      <c r="H238" s="100" t="s">
        <v>47</v>
      </c>
      <c r="I238" s="99">
        <f>(F247/C238)^0.5</f>
        <v>4.0697051490249265</v>
      </c>
      <c r="J238" s="18" t="s">
        <v>4</v>
      </c>
    </row>
    <row r="239" spans="1:185" x14ac:dyDescent="0.3">
      <c r="C239" s="99"/>
      <c r="D239" s="99"/>
      <c r="E239" s="99"/>
      <c r="F239" s="99"/>
      <c r="G239" s="99"/>
      <c r="H239" s="99"/>
      <c r="I239" s="99"/>
    </row>
    <row r="240" spans="1:185" x14ac:dyDescent="0.3">
      <c r="B240" s="31" t="s">
        <v>74</v>
      </c>
      <c r="C240" s="99"/>
      <c r="D240" s="99"/>
      <c r="E240" s="99"/>
      <c r="F240" s="99"/>
      <c r="G240" s="99"/>
      <c r="H240" s="99"/>
      <c r="I240" s="99"/>
    </row>
    <row r="241" spans="1:11" x14ac:dyDescent="0.3">
      <c r="B241" s="32" t="s">
        <v>24</v>
      </c>
      <c r="C241" s="99">
        <f>C231</f>
        <v>6</v>
      </c>
      <c r="D241" s="99" t="s">
        <v>4</v>
      </c>
      <c r="E241" s="99"/>
      <c r="F241" s="99"/>
      <c r="G241" s="99"/>
      <c r="H241" s="99"/>
      <c r="I241" s="99"/>
    </row>
    <row r="242" spans="1:11" x14ac:dyDescent="0.3">
      <c r="B242" s="32" t="s">
        <v>26</v>
      </c>
      <c r="C242" s="99">
        <f>C231</f>
        <v>6</v>
      </c>
      <c r="D242" s="99" t="s">
        <v>4</v>
      </c>
      <c r="E242" s="99"/>
      <c r="F242" s="99"/>
      <c r="G242" s="99"/>
      <c r="H242" s="99"/>
      <c r="I242" s="99"/>
    </row>
    <row r="243" spans="1:11" x14ac:dyDescent="0.3">
      <c r="C243" s="99"/>
      <c r="D243" s="99"/>
      <c r="E243" s="99"/>
      <c r="F243" s="99"/>
      <c r="G243" s="99"/>
      <c r="H243" s="99"/>
      <c r="I243" s="99"/>
    </row>
    <row r="244" spans="1:11" x14ac:dyDescent="0.3">
      <c r="B244" s="31" t="s">
        <v>110</v>
      </c>
      <c r="C244" s="99"/>
      <c r="D244" s="99"/>
      <c r="E244" s="99"/>
      <c r="F244" s="99"/>
      <c r="G244" s="102"/>
      <c r="H244" s="100"/>
      <c r="I244" s="101"/>
    </row>
    <row r="245" spans="1:11" ht="15" x14ac:dyDescent="0.3">
      <c r="B245" s="16" t="s">
        <v>44</v>
      </c>
      <c r="C245" s="99" t="str">
        <f ca="1">[1]!xlv(C247)</f>
        <v>π × (R⁴ - r⁴) / 4</v>
      </c>
      <c r="D245" s="99"/>
      <c r="E245" s="103" t="s">
        <v>45</v>
      </c>
      <c r="F245" s="99" t="str">
        <f ca="1">[1]!xlv(F247)</f>
        <v>π × (R⁴ - r⁴) / 4</v>
      </c>
      <c r="G245" s="99"/>
      <c r="H245" s="16" t="s">
        <v>50</v>
      </c>
      <c r="I245" s="99" t="str">
        <f ca="1">[1]!xlv(I247)</f>
        <v>Iₓ + Iₓ</v>
      </c>
    </row>
    <row r="246" spans="1:11" ht="15" x14ac:dyDescent="0.3">
      <c r="B246" s="16" t="s">
        <v>44</v>
      </c>
      <c r="C246" s="99" t="str">
        <f>[1]!xln(C247)</f>
        <v>π × (6⁴ - 5.5⁴) / 4</v>
      </c>
      <c r="D246" s="99"/>
      <c r="E246" s="103" t="s">
        <v>45</v>
      </c>
      <c r="F246" s="99" t="str">
        <f>[1]!xln(F247)</f>
        <v>π × (6⁴ - 5.5⁴) / 4</v>
      </c>
      <c r="G246" s="99"/>
      <c r="H246" s="16" t="s">
        <v>50</v>
      </c>
      <c r="I246" s="99" t="str">
        <f>[1]!xln(I247)</f>
        <v>299 + 299</v>
      </c>
    </row>
    <row r="247" spans="1:11" ht="15" x14ac:dyDescent="0.3">
      <c r="B247" s="16" t="s">
        <v>44</v>
      </c>
      <c r="C247" s="100">
        <f>PI()*(C231^4-C232^4)/4</f>
        <v>299.18761286921546</v>
      </c>
      <c r="D247" s="101" t="s">
        <v>42</v>
      </c>
      <c r="E247" s="103" t="s">
        <v>45</v>
      </c>
      <c r="F247" s="99">
        <f>PI()*(C231^4-C232^4)/4</f>
        <v>299.18761286921546</v>
      </c>
      <c r="G247" s="101" t="s">
        <v>42</v>
      </c>
      <c r="H247" s="16" t="s">
        <v>50</v>
      </c>
      <c r="I247" s="100">
        <f>C247+C247</f>
        <v>598.37522573843091</v>
      </c>
      <c r="J247" s="18" t="s">
        <v>42</v>
      </c>
    </row>
    <row r="248" spans="1:11" x14ac:dyDescent="0.3">
      <c r="C248" s="99"/>
      <c r="D248" s="99"/>
      <c r="E248" s="99"/>
      <c r="F248" s="99"/>
      <c r="G248" s="99"/>
      <c r="H248" s="99"/>
      <c r="I248" s="99"/>
    </row>
    <row r="249" spans="1:11" x14ac:dyDescent="0.3">
      <c r="B249" s="31" t="s">
        <v>111</v>
      </c>
      <c r="C249" s="99"/>
      <c r="D249" s="99"/>
      <c r="E249" s="99"/>
      <c r="F249" s="99"/>
      <c r="G249" s="99"/>
      <c r="H249" s="99"/>
      <c r="I249" s="99"/>
    </row>
    <row r="250" spans="1:11" x14ac:dyDescent="0.3">
      <c r="B250" s="16" t="s">
        <v>72</v>
      </c>
      <c r="C250" s="99" t="str">
        <f ca="1">[1]!xlv(C252)</f>
        <v>((R × 2)³ - (r × 2)³) / 6</v>
      </c>
      <c r="D250" s="99"/>
      <c r="E250" s="99"/>
      <c r="F250" s="99"/>
      <c r="G250" s="103"/>
      <c r="H250" s="99"/>
      <c r="I250" s="99"/>
    </row>
    <row r="251" spans="1:11" x14ac:dyDescent="0.3">
      <c r="A251" s="11"/>
      <c r="B251" s="16" t="s">
        <v>72</v>
      </c>
      <c r="C251" s="99" t="str">
        <f>[1]!xln(C252)</f>
        <v>((6 × 2)³ - (5.5 × 2)³) / 6</v>
      </c>
      <c r="D251" s="99"/>
      <c r="E251" s="99"/>
      <c r="F251" s="99"/>
      <c r="G251" s="103"/>
      <c r="H251" s="99"/>
      <c r="I251" s="99"/>
    </row>
    <row r="252" spans="1:11" x14ac:dyDescent="0.3">
      <c r="A252" s="11"/>
      <c r="B252" s="16" t="s">
        <v>72</v>
      </c>
      <c r="C252" s="99">
        <f>((C231*2)^3-(C232*2)^3)/6</f>
        <v>66.166666666666671</v>
      </c>
      <c r="D252" s="99" t="s">
        <v>33</v>
      </c>
      <c r="E252" s="99"/>
      <c r="F252" s="99"/>
      <c r="G252" s="103"/>
      <c r="H252" s="99"/>
      <c r="I252" s="99"/>
    </row>
    <row r="253" spans="1:11" x14ac:dyDescent="0.3">
      <c r="C253" s="99"/>
      <c r="D253" s="99"/>
      <c r="E253" s="99"/>
      <c r="F253" s="99"/>
      <c r="G253" s="100"/>
      <c r="H253" s="99"/>
      <c r="I253" s="99"/>
      <c r="J253" s="87"/>
      <c r="K253" s="11"/>
    </row>
    <row r="254" spans="1:11" x14ac:dyDescent="0.3">
      <c r="B254" s="31" t="s">
        <v>115</v>
      </c>
      <c r="K254" s="11"/>
    </row>
    <row r="255" spans="1:11" x14ac:dyDescent="0.3">
      <c r="B255" s="16" t="s">
        <v>80</v>
      </c>
      <c r="C255" s="99" t="str">
        <f ca="1">[1]!xlv(C257)</f>
        <v>32 × (R × 2) × ((R × 2)³ - (r × 2)³) / (6 × π × ((R × 2)⁴ - (r × 2)⁴))</v>
      </c>
      <c r="D255" s="99"/>
      <c r="E255" s="99"/>
      <c r="F255" s="99"/>
      <c r="G255" s="103"/>
      <c r="H255" s="99"/>
      <c r="I255" s="99"/>
    </row>
    <row r="256" spans="1:11" x14ac:dyDescent="0.3">
      <c r="B256" s="16" t="s">
        <v>80</v>
      </c>
      <c r="C256" s="99" t="str">
        <f>[1]!xln(C257)</f>
        <v>32 × (6 × 2) × ((6 × 2)³ - (5.5 × 2)³) / (6 × π × ((6 × 2)⁴ - (5.5 × 2)⁴))</v>
      </c>
      <c r="G256" s="16"/>
    </row>
    <row r="257" spans="2:9" x14ac:dyDescent="0.3">
      <c r="B257" s="16" t="s">
        <v>80</v>
      </c>
      <c r="C257" s="99">
        <f>32*(C231*2)*((C231*2)^3-(C232*2)^3)/(6*PI()*((C231*2)^4-(C232*2)^4))</f>
        <v>1.326926593627195</v>
      </c>
      <c r="G257" s="16"/>
    </row>
    <row r="259" spans="2:9" x14ac:dyDescent="0.3">
      <c r="D259" s="25"/>
      <c r="E259" s="18"/>
    </row>
    <row r="261" spans="2:9" x14ac:dyDescent="0.3">
      <c r="I261" s="23"/>
    </row>
    <row r="262" spans="2:9" x14ac:dyDescent="0.3">
      <c r="C262" s="16"/>
      <c r="D262" s="28"/>
      <c r="E262" s="18"/>
      <c r="F262" s="23"/>
      <c r="G262" s="23"/>
      <c r="H262" s="23"/>
    </row>
    <row r="263" spans="2:9" x14ac:dyDescent="0.3">
      <c r="C263" s="16"/>
      <c r="D263" s="28"/>
      <c r="E263" s="18"/>
      <c r="F263" s="23"/>
      <c r="G263" s="23"/>
      <c r="H263" s="23"/>
    </row>
    <row r="274" spans="1:185" x14ac:dyDescent="0.3">
      <c r="A274" s="12"/>
      <c r="B274" s="3"/>
      <c r="C274" s="74"/>
      <c r="D274" s="12"/>
      <c r="E274" s="12"/>
      <c r="F274" s="12"/>
      <c r="G274" s="74"/>
      <c r="H274" s="12"/>
      <c r="I274" s="12"/>
      <c r="J274" s="12"/>
      <c r="K274" s="12"/>
    </row>
    <row r="275" spans="1:185" x14ac:dyDescent="0.3">
      <c r="A275" s="12"/>
      <c r="B275" s="75"/>
      <c r="C275" s="74"/>
      <c r="D275" s="76"/>
      <c r="E275" s="76"/>
      <c r="F275" s="77" t="s">
        <v>105</v>
      </c>
      <c r="G275" s="74"/>
      <c r="H275" s="76"/>
      <c r="I275" s="76"/>
      <c r="J275" s="76"/>
      <c r="K275" s="12"/>
    </row>
    <row r="276" spans="1:185" x14ac:dyDescent="0.3">
      <c r="A276" s="12"/>
      <c r="B276" s="76"/>
      <c r="C276" s="76"/>
      <c r="D276" s="76"/>
      <c r="E276" s="76"/>
      <c r="F276" s="104" t="s">
        <v>106</v>
      </c>
      <c r="G276" s="76"/>
      <c r="H276" s="76"/>
      <c r="I276" s="76"/>
      <c r="J276" s="76"/>
      <c r="K276" s="12"/>
    </row>
    <row r="277" spans="1:185" x14ac:dyDescent="0.3">
      <c r="A277" s="57"/>
      <c r="B277" s="48"/>
      <c r="C277" s="48"/>
      <c r="D277" s="48"/>
      <c r="E277" s="50" t="s">
        <v>5</v>
      </c>
      <c r="F277" s="51" t="str">
        <f>$C$1</f>
        <v>R. Abbott</v>
      </c>
      <c r="G277" s="48"/>
      <c r="H277" s="58"/>
      <c r="I277" s="50" t="s">
        <v>10</v>
      </c>
      <c r="J277" s="59" t="str">
        <f>$G$2</f>
        <v>AA-SM-001-000</v>
      </c>
      <c r="K277" s="60"/>
      <c r="L277" s="61"/>
      <c r="M277" s="52"/>
      <c r="N277" s="52"/>
      <c r="O277" s="52"/>
      <c r="P277" s="5"/>
      <c r="AD277" s="8"/>
    </row>
    <row r="278" spans="1:185" s="10" customFormat="1" x14ac:dyDescent="0.3">
      <c r="A278" s="48"/>
      <c r="B278" s="48"/>
      <c r="C278" s="48"/>
      <c r="D278" s="48"/>
      <c r="E278" s="50" t="s">
        <v>6</v>
      </c>
      <c r="F278" s="58" t="str">
        <f>$C$2</f>
        <v xml:space="preserve"> </v>
      </c>
      <c r="G278" s="48"/>
      <c r="H278" s="58"/>
      <c r="I278" s="50" t="s">
        <v>11</v>
      </c>
      <c r="J278" s="60" t="str">
        <f>$G$3</f>
        <v>B</v>
      </c>
      <c r="K278" s="60"/>
      <c r="L278" s="61"/>
      <c r="M278" s="52">
        <v>1</v>
      </c>
      <c r="N278" s="52"/>
      <c r="O278" s="52"/>
      <c r="P278" s="5"/>
      <c r="Q278" s="9"/>
      <c r="R278" s="7"/>
      <c r="S278" s="7"/>
      <c r="T278" s="2"/>
      <c r="U278" s="2"/>
      <c r="V278" s="2"/>
      <c r="W278" s="2"/>
      <c r="X278" s="2"/>
      <c r="Y278" s="2"/>
      <c r="Z278" s="2"/>
      <c r="AA278" s="2"/>
      <c r="AB278" s="2"/>
      <c r="AC278" s="2"/>
      <c r="AD278" s="2"/>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row>
    <row r="279" spans="1:185" x14ac:dyDescent="0.3">
      <c r="A279" s="48"/>
      <c r="B279" s="48"/>
      <c r="C279" s="48"/>
      <c r="D279" s="48"/>
      <c r="E279" s="50" t="s">
        <v>1</v>
      </c>
      <c r="F279" s="58" t="str">
        <f>$C$3</f>
        <v>20/10/2013</v>
      </c>
      <c r="G279" s="48"/>
      <c r="H279" s="58"/>
      <c r="I279" s="50" t="s">
        <v>12</v>
      </c>
      <c r="J279" s="51" t="str">
        <f>L279&amp;" of "&amp;$G$1</f>
        <v>6 of 16</v>
      </c>
      <c r="K279" s="58"/>
      <c r="L279" s="61">
        <f>SUM($M$1:M278)</f>
        <v>6</v>
      </c>
      <c r="M279" s="52"/>
      <c r="N279" s="52"/>
      <c r="O279" s="52"/>
      <c r="P279" s="5"/>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row>
    <row r="280" spans="1:185" x14ac:dyDescent="0.3">
      <c r="A280" s="48"/>
      <c r="B280" s="48"/>
      <c r="C280" s="48"/>
      <c r="D280" s="48"/>
      <c r="E280" s="50" t="s">
        <v>63</v>
      </c>
      <c r="F280" s="58" t="str">
        <f>$C$5</f>
        <v>STANDARD SPREADSHEET METHOD</v>
      </c>
      <c r="G280" s="48"/>
      <c r="H280" s="48"/>
      <c r="I280" s="62"/>
      <c r="J280" s="51"/>
      <c r="K280" s="48"/>
      <c r="L280" s="48"/>
      <c r="M280" s="52"/>
      <c r="N280" s="52"/>
      <c r="O280" s="52"/>
      <c r="P280" s="5"/>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row>
    <row r="281" spans="1:185" ht="15.6" x14ac:dyDescent="0.3">
      <c r="A281" s="12"/>
      <c r="B281" s="64" t="str">
        <f>$G$4</f>
        <v>SECTION PROPERTIES</v>
      </c>
      <c r="C281" s="12"/>
      <c r="D281" s="12"/>
      <c r="E281" s="12"/>
      <c r="F281" s="12"/>
      <c r="G281" s="12"/>
      <c r="H281" s="12"/>
      <c r="I281" s="12"/>
      <c r="J281" s="12"/>
      <c r="K281" s="1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row>
    <row r="282" spans="1:185" x14ac:dyDescent="0.3">
      <c r="A282" s="44"/>
      <c r="B282" s="44" t="s">
        <v>128</v>
      </c>
      <c r="C282" s="44"/>
      <c r="D282" s="44"/>
      <c r="E282" s="44"/>
    </row>
    <row r="284" spans="1:185" x14ac:dyDescent="0.3">
      <c r="A284" s="30"/>
      <c r="B284" s="31"/>
      <c r="H284" s="34" t="s">
        <v>36</v>
      </c>
    </row>
    <row r="285" spans="1:185" x14ac:dyDescent="0.3">
      <c r="A285" s="18"/>
      <c r="B285" s="18"/>
      <c r="C285" s="18"/>
      <c r="D285" s="18"/>
      <c r="E285" s="18"/>
      <c r="F285" s="18"/>
      <c r="G285" s="18"/>
      <c r="K285" s="18"/>
    </row>
    <row r="286" spans="1:185" x14ac:dyDescent="0.3">
      <c r="A286" s="18"/>
      <c r="B286" s="16" t="s">
        <v>25</v>
      </c>
      <c r="C286" s="20">
        <v>5</v>
      </c>
      <c r="D286" s="18" t="s">
        <v>4</v>
      </c>
      <c r="H286" s="16" t="s">
        <v>46</v>
      </c>
      <c r="I286" s="4" t="str">
        <f ca="1">[1]!xlv(I288)</f>
        <v>(Iₓ / A)⁰·⁵</v>
      </c>
    </row>
    <row r="287" spans="1:185" x14ac:dyDescent="0.3">
      <c r="A287" s="18"/>
      <c r="B287" s="32"/>
      <c r="C287" s="33"/>
      <c r="H287" s="16" t="s">
        <v>46</v>
      </c>
      <c r="I287" s="4" t="str">
        <f>[1]!xln(I288)</f>
        <v>(68.6 / 39.3)⁰·⁵</v>
      </c>
    </row>
    <row r="288" spans="1:185" x14ac:dyDescent="0.3">
      <c r="A288" s="18"/>
      <c r="B288" s="32"/>
      <c r="C288" s="33"/>
      <c r="H288" s="16" t="s">
        <v>46</v>
      </c>
      <c r="I288" s="35">
        <f>(C303/C293)^0.5</f>
        <v>1.3216793418082786</v>
      </c>
      <c r="J288" s="18" t="s">
        <v>4</v>
      </c>
      <c r="K288" s="18"/>
    </row>
    <row r="289" spans="1:11" x14ac:dyDescent="0.3">
      <c r="A289" s="18"/>
      <c r="B289" s="18"/>
    </row>
    <row r="290" spans="1:11" x14ac:dyDescent="0.3">
      <c r="A290" s="18"/>
      <c r="B290" s="31" t="s">
        <v>28</v>
      </c>
      <c r="H290" s="16" t="s">
        <v>47</v>
      </c>
      <c r="I290" s="4" t="str">
        <f ca="1">[1]!xlv(I292)</f>
        <v>(Iᵧ / A)⁰·⁵</v>
      </c>
    </row>
    <row r="291" spans="1:11" x14ac:dyDescent="0.3">
      <c r="A291" s="11"/>
      <c r="B291" s="16" t="s">
        <v>31</v>
      </c>
      <c r="C291" s="4" t="str">
        <f ca="1">[1]!xlv(C293)</f>
        <v>π × R² / 2</v>
      </c>
      <c r="H291" s="16" t="s">
        <v>47</v>
      </c>
      <c r="I291" s="4" t="str">
        <f>[1]!xln(I292)</f>
        <v>(245 / 39.3)⁰·⁵</v>
      </c>
    </row>
    <row r="292" spans="1:11" x14ac:dyDescent="0.3">
      <c r="B292" s="16" t="s">
        <v>31</v>
      </c>
      <c r="C292" s="4" t="str">
        <f>[1]!xln(C293)</f>
        <v>π × 5² / 2</v>
      </c>
      <c r="D292" s="11"/>
      <c r="H292" s="16" t="s">
        <v>47</v>
      </c>
      <c r="I292" s="22">
        <f>(G303/C293)^0.5</f>
        <v>2.5</v>
      </c>
      <c r="J292" s="18" t="s">
        <v>4</v>
      </c>
    </row>
    <row r="293" spans="1:11" x14ac:dyDescent="0.3">
      <c r="B293" s="16" t="s">
        <v>31</v>
      </c>
      <c r="C293" s="17">
        <f>PI()*C286^2/2</f>
        <v>39.269908169872416</v>
      </c>
      <c r="D293" s="18" t="s">
        <v>41</v>
      </c>
    </row>
    <row r="295" spans="1:11" x14ac:dyDescent="0.3">
      <c r="B295" s="31" t="s">
        <v>74</v>
      </c>
    </row>
    <row r="296" spans="1:11" x14ac:dyDescent="0.3">
      <c r="B296" s="32" t="s">
        <v>24</v>
      </c>
      <c r="C296" s="4" t="str">
        <f ca="1">[1]!xlv(C297)</f>
        <v>R</v>
      </c>
      <c r="F296" s="32" t="s">
        <v>26</v>
      </c>
      <c r="G296" s="4" t="str">
        <f ca="1">[1]!xlv(G298)</f>
        <v>4 × R / (3 × π)</v>
      </c>
    </row>
    <row r="297" spans="1:11" x14ac:dyDescent="0.3">
      <c r="B297" s="32" t="s">
        <v>24</v>
      </c>
      <c r="C297" s="22">
        <f>C286</f>
        <v>5</v>
      </c>
      <c r="D297" s="4" t="s">
        <v>4</v>
      </c>
      <c r="F297" s="32" t="s">
        <v>26</v>
      </c>
      <c r="G297" s="4" t="str">
        <f>[1]!xln(G298)</f>
        <v>4 × 5 / (3 × π)</v>
      </c>
    </row>
    <row r="298" spans="1:11" x14ac:dyDescent="0.3">
      <c r="F298" s="32" t="s">
        <v>26</v>
      </c>
      <c r="G298" s="87">
        <f>4*C286/(3*PI())</f>
        <v>2.1220659078919377</v>
      </c>
      <c r="H298" s="4" t="s">
        <v>4</v>
      </c>
    </row>
    <row r="300" spans="1:11" x14ac:dyDescent="0.3">
      <c r="B300" s="31" t="s">
        <v>110</v>
      </c>
      <c r="G300" s="31"/>
      <c r="H300" s="16"/>
      <c r="I300" s="18"/>
    </row>
    <row r="301" spans="1:11" ht="15" x14ac:dyDescent="0.3">
      <c r="B301" s="16" t="s">
        <v>44</v>
      </c>
      <c r="C301" s="4" t="str">
        <f ca="1">[1]!xlv(C303)</f>
        <v>((π / 8) - (8 / (9 × π))) × R⁴</v>
      </c>
      <c r="F301" s="32" t="s">
        <v>45</v>
      </c>
      <c r="G301" s="4" t="str">
        <f ca="1">[1]!xlv(G303)</f>
        <v>π × R⁴ / 8</v>
      </c>
      <c r="I301" s="16" t="s">
        <v>50</v>
      </c>
      <c r="J301" s="4" t="str">
        <f ca="1">[1]!xlv(J303)</f>
        <v>Iᵧ + Iₓ</v>
      </c>
    </row>
    <row r="302" spans="1:11" ht="15" x14ac:dyDescent="0.3">
      <c r="B302" s="16" t="s">
        <v>44</v>
      </c>
      <c r="C302" s="4" t="str">
        <f>[1]!xln(C303)</f>
        <v>((π / 8) - (8 / (9 × π))) × 5⁴</v>
      </c>
      <c r="F302" s="32" t="s">
        <v>45</v>
      </c>
      <c r="G302" s="4" t="str">
        <f>[1]!xln(G303)</f>
        <v>π × 5⁴ / 8</v>
      </c>
      <c r="I302" s="16" t="s">
        <v>50</v>
      </c>
      <c r="J302" s="4" t="str">
        <f>[1]!xln(J303)</f>
        <v>245 + 68.6</v>
      </c>
    </row>
    <row r="303" spans="1:11" ht="15" x14ac:dyDescent="0.3">
      <c r="B303" s="16" t="s">
        <v>44</v>
      </c>
      <c r="C303" s="17">
        <f>((PI()/8)-(8/(9*PI())))*C286^4</f>
        <v>68.598100404041077</v>
      </c>
      <c r="D303" s="18" t="s">
        <v>42</v>
      </c>
      <c r="F303" s="32" t="s">
        <v>45</v>
      </c>
      <c r="G303" s="38">
        <f>PI()*C286^4/8</f>
        <v>245.43692606170259</v>
      </c>
      <c r="H303" s="18" t="s">
        <v>42</v>
      </c>
      <c r="I303" s="16" t="s">
        <v>50</v>
      </c>
      <c r="J303" s="17">
        <f>G303+C303</f>
        <v>314.03502646574367</v>
      </c>
      <c r="K303" s="18" t="s">
        <v>42</v>
      </c>
    </row>
    <row r="307" spans="7:21" x14ac:dyDescent="0.3">
      <c r="G307" s="32"/>
      <c r="L307" s="4"/>
      <c r="M307" s="4"/>
      <c r="N307" s="4"/>
      <c r="O307" s="4"/>
      <c r="P307" s="4"/>
      <c r="Q307" s="4"/>
      <c r="R307" s="4"/>
      <c r="S307" s="4"/>
      <c r="T307" s="4"/>
      <c r="U307" s="4"/>
    </row>
    <row r="308" spans="7:21" x14ac:dyDescent="0.3">
      <c r="G308" s="32"/>
      <c r="L308" s="4"/>
      <c r="M308" s="4"/>
      <c r="N308" s="4"/>
      <c r="O308" s="4"/>
      <c r="P308" s="4"/>
      <c r="Q308" s="4"/>
      <c r="R308" s="4"/>
      <c r="S308" s="4"/>
      <c r="T308" s="4"/>
      <c r="U308" s="4"/>
    </row>
    <row r="309" spans="7:21" x14ac:dyDescent="0.3">
      <c r="G309" s="32"/>
      <c r="H309" s="38"/>
      <c r="L309" s="4"/>
      <c r="M309" s="4"/>
      <c r="N309" s="4"/>
      <c r="O309" s="4"/>
      <c r="P309" s="4"/>
      <c r="Q309" s="4"/>
      <c r="R309" s="4"/>
      <c r="S309" s="4"/>
      <c r="T309" s="4"/>
      <c r="U309" s="4"/>
    </row>
    <row r="310" spans="7:21" x14ac:dyDescent="0.3">
      <c r="L310" s="4"/>
      <c r="M310" s="4"/>
      <c r="N310" s="4"/>
      <c r="O310" s="4"/>
      <c r="P310" s="4"/>
      <c r="Q310" s="4"/>
      <c r="R310" s="4"/>
      <c r="S310" s="4"/>
      <c r="T310" s="4"/>
      <c r="U310" s="4"/>
    </row>
    <row r="311" spans="7:21" x14ac:dyDescent="0.3">
      <c r="L311" s="4"/>
      <c r="M311" s="4"/>
      <c r="N311" s="4"/>
      <c r="O311" s="4"/>
      <c r="P311" s="4"/>
      <c r="Q311" s="4"/>
      <c r="R311" s="4"/>
      <c r="S311" s="4"/>
      <c r="T311" s="4"/>
      <c r="U311" s="4"/>
    </row>
    <row r="312" spans="7:21" x14ac:dyDescent="0.3">
      <c r="L312" s="4"/>
      <c r="M312" s="4"/>
      <c r="N312" s="4"/>
      <c r="O312" s="4"/>
      <c r="P312" s="4"/>
      <c r="Q312" s="4"/>
      <c r="R312" s="4"/>
      <c r="S312" s="4"/>
      <c r="T312" s="4"/>
      <c r="U312" s="4"/>
    </row>
    <row r="313" spans="7:21" x14ac:dyDescent="0.3">
      <c r="G313" s="16"/>
      <c r="L313" s="4"/>
      <c r="M313" s="4"/>
      <c r="N313" s="4"/>
      <c r="O313" s="4"/>
      <c r="P313" s="4"/>
      <c r="Q313" s="4"/>
      <c r="R313" s="4"/>
      <c r="S313" s="4"/>
      <c r="T313" s="4"/>
      <c r="U313" s="4"/>
    </row>
    <row r="314" spans="7:21" x14ac:dyDescent="0.3">
      <c r="G314" s="16"/>
      <c r="L314" s="4"/>
      <c r="M314" s="4"/>
      <c r="N314" s="4"/>
      <c r="O314" s="4"/>
      <c r="P314" s="4"/>
      <c r="Q314" s="4"/>
      <c r="R314" s="4"/>
      <c r="S314" s="4"/>
      <c r="T314" s="4"/>
      <c r="U314" s="4"/>
    </row>
    <row r="315" spans="7:21" x14ac:dyDescent="0.3">
      <c r="G315" s="16"/>
      <c r="H315" s="38"/>
      <c r="L315" s="4"/>
      <c r="M315" s="4"/>
      <c r="N315" s="4"/>
      <c r="O315" s="4"/>
      <c r="P315" s="4"/>
      <c r="Q315" s="4"/>
      <c r="R315" s="4"/>
      <c r="S315" s="4"/>
      <c r="T315" s="4"/>
      <c r="U315" s="4"/>
    </row>
    <row r="316" spans="7:21" x14ac:dyDescent="0.3">
      <c r="L316" s="4"/>
      <c r="M316" s="4"/>
      <c r="N316" s="4"/>
      <c r="O316" s="4"/>
      <c r="P316" s="4"/>
      <c r="Q316" s="4"/>
      <c r="R316" s="4"/>
      <c r="S316" s="4"/>
      <c r="T316" s="4"/>
      <c r="U316" s="4"/>
    </row>
    <row r="317" spans="7:21" x14ac:dyDescent="0.3">
      <c r="L317" s="4"/>
      <c r="M317" s="4"/>
      <c r="N317" s="4"/>
      <c r="O317" s="4"/>
      <c r="P317" s="4"/>
      <c r="Q317" s="4"/>
      <c r="R317" s="4"/>
      <c r="S317" s="4"/>
      <c r="T317" s="4"/>
      <c r="U317" s="4"/>
    </row>
    <row r="318" spans="7:21" x14ac:dyDescent="0.3">
      <c r="L318" s="4"/>
      <c r="M318" s="4"/>
      <c r="N318" s="4"/>
      <c r="O318" s="4"/>
      <c r="P318" s="4"/>
      <c r="Q318" s="4"/>
      <c r="R318" s="4"/>
      <c r="S318" s="4"/>
      <c r="T318" s="4"/>
      <c r="U318" s="4"/>
    </row>
    <row r="320" spans="7:21" x14ac:dyDescent="0.3">
      <c r="L320" s="4"/>
      <c r="M320" s="4"/>
      <c r="N320" s="4"/>
      <c r="O320" s="4"/>
      <c r="P320" s="4"/>
      <c r="Q320" s="4"/>
      <c r="R320" s="4"/>
      <c r="S320" s="4"/>
      <c r="T320" s="4"/>
      <c r="U320" s="4"/>
    </row>
    <row r="321" spans="1:185" x14ac:dyDescent="0.3">
      <c r="L321" s="4"/>
      <c r="M321" s="4"/>
      <c r="N321" s="4"/>
      <c r="O321" s="4"/>
      <c r="P321" s="4"/>
      <c r="Q321" s="4"/>
      <c r="R321" s="4"/>
      <c r="S321" s="4"/>
      <c r="T321" s="4"/>
      <c r="U321" s="4"/>
    </row>
    <row r="322" spans="1:185" x14ac:dyDescent="0.3">
      <c r="L322" s="4"/>
      <c r="M322" s="4"/>
      <c r="N322" s="4"/>
      <c r="O322" s="4"/>
      <c r="P322" s="4"/>
      <c r="Q322" s="4"/>
      <c r="R322" s="4"/>
      <c r="S322" s="4"/>
      <c r="T322" s="4"/>
      <c r="U322" s="4"/>
    </row>
    <row r="323" spans="1:185" x14ac:dyDescent="0.3">
      <c r="L323" s="4"/>
      <c r="M323" s="4"/>
      <c r="N323" s="4"/>
      <c r="O323" s="4"/>
      <c r="P323" s="4"/>
      <c r="Q323" s="4"/>
      <c r="R323" s="4"/>
      <c r="S323" s="4"/>
      <c r="T323" s="4"/>
      <c r="U323" s="4"/>
    </row>
    <row r="324" spans="1:185" x14ac:dyDescent="0.3">
      <c r="L324" s="4"/>
      <c r="M324" s="4"/>
      <c r="N324" s="4"/>
      <c r="O324" s="4"/>
      <c r="P324" s="4"/>
      <c r="Q324" s="4"/>
      <c r="R324" s="4"/>
      <c r="S324" s="4"/>
      <c r="T324" s="4"/>
      <c r="U324" s="4"/>
    </row>
    <row r="325" spans="1:185" x14ac:dyDescent="0.3">
      <c r="L325" s="4"/>
      <c r="M325" s="4"/>
      <c r="N325" s="4"/>
      <c r="O325" s="4"/>
      <c r="P325" s="4"/>
      <c r="Q325" s="4"/>
      <c r="R325" s="4"/>
      <c r="S325" s="4"/>
      <c r="T325" s="4"/>
      <c r="U325" s="4"/>
    </row>
    <row r="326" spans="1:185" x14ac:dyDescent="0.3">
      <c r="L326" s="4"/>
      <c r="M326" s="4"/>
      <c r="N326" s="4"/>
      <c r="O326" s="4"/>
      <c r="P326" s="4"/>
      <c r="Q326" s="4"/>
      <c r="R326" s="4"/>
      <c r="S326" s="4"/>
      <c r="T326" s="4"/>
      <c r="U326" s="4"/>
    </row>
    <row r="327" spans="1:185" x14ac:dyDescent="0.3">
      <c r="L327" s="4"/>
      <c r="M327" s="4"/>
      <c r="N327" s="4"/>
      <c r="O327" s="4"/>
      <c r="P327" s="4"/>
      <c r="Q327" s="4"/>
      <c r="R327" s="4"/>
      <c r="S327" s="4"/>
      <c r="T327" s="4"/>
      <c r="U327" s="4"/>
    </row>
    <row r="328" spans="1:185" x14ac:dyDescent="0.3">
      <c r="L328" s="4"/>
      <c r="M328" s="4"/>
      <c r="N328" s="4"/>
      <c r="O328" s="4"/>
      <c r="P328" s="4"/>
      <c r="Q328" s="4"/>
      <c r="R328" s="4"/>
      <c r="S328" s="4"/>
      <c r="T328" s="4"/>
      <c r="U328" s="4"/>
    </row>
    <row r="329" spans="1:185" x14ac:dyDescent="0.3">
      <c r="A329" s="12"/>
      <c r="B329" s="3"/>
      <c r="C329" s="74"/>
      <c r="D329" s="12"/>
      <c r="E329" s="12"/>
      <c r="F329" s="12"/>
      <c r="G329" s="74"/>
      <c r="H329" s="12"/>
      <c r="I329" s="12"/>
      <c r="J329" s="12"/>
      <c r="K329" s="12"/>
      <c r="L329" s="4"/>
      <c r="M329" s="4"/>
      <c r="N329" s="4"/>
      <c r="O329" s="4"/>
      <c r="P329" s="4"/>
      <c r="Q329" s="4"/>
      <c r="R329" s="4"/>
      <c r="S329" s="4"/>
      <c r="T329" s="4"/>
      <c r="U329" s="4"/>
    </row>
    <row r="330" spans="1:185" x14ac:dyDescent="0.3">
      <c r="A330" s="12"/>
      <c r="B330" s="75"/>
      <c r="C330" s="74"/>
      <c r="D330" s="76"/>
      <c r="E330" s="76"/>
      <c r="F330" s="77" t="s">
        <v>105</v>
      </c>
      <c r="G330" s="74"/>
      <c r="H330" s="76"/>
      <c r="I330" s="76"/>
      <c r="J330" s="76"/>
      <c r="K330" s="12"/>
    </row>
    <row r="331" spans="1:185" x14ac:dyDescent="0.3">
      <c r="A331" s="12"/>
      <c r="B331" s="76"/>
      <c r="C331" s="76"/>
      <c r="D331" s="76"/>
      <c r="E331" s="76"/>
      <c r="F331" s="104" t="s">
        <v>106</v>
      </c>
      <c r="G331" s="76"/>
      <c r="H331" s="76"/>
      <c r="I331" s="76"/>
      <c r="J331" s="76"/>
      <c r="K331" s="12"/>
    </row>
    <row r="332" spans="1:185" x14ac:dyDescent="0.3">
      <c r="A332" s="57"/>
      <c r="B332" s="48"/>
      <c r="C332" s="48"/>
      <c r="D332" s="48"/>
      <c r="E332" s="50" t="s">
        <v>5</v>
      </c>
      <c r="F332" s="51" t="str">
        <f>$C$1</f>
        <v>R. Abbott</v>
      </c>
      <c r="G332" s="48"/>
      <c r="H332" s="58"/>
      <c r="I332" s="50" t="s">
        <v>10</v>
      </c>
      <c r="J332" s="59" t="str">
        <f>$G$2</f>
        <v>AA-SM-001-000</v>
      </c>
      <c r="K332" s="60"/>
      <c r="L332" s="61"/>
      <c r="M332" s="52"/>
      <c r="N332" s="52"/>
      <c r="O332" s="52"/>
      <c r="P332" s="5"/>
      <c r="AD332" s="8"/>
    </row>
    <row r="333" spans="1:185" s="10" customFormat="1" x14ac:dyDescent="0.3">
      <c r="A333" s="48"/>
      <c r="B333" s="48"/>
      <c r="C333" s="48"/>
      <c r="D333" s="48"/>
      <c r="E333" s="50" t="s">
        <v>6</v>
      </c>
      <c r="F333" s="58" t="str">
        <f>$C$2</f>
        <v xml:space="preserve"> </v>
      </c>
      <c r="G333" s="48"/>
      <c r="H333" s="58"/>
      <c r="I333" s="50" t="s">
        <v>11</v>
      </c>
      <c r="J333" s="60" t="str">
        <f>$G$3</f>
        <v>B</v>
      </c>
      <c r="K333" s="60"/>
      <c r="L333" s="61"/>
      <c r="M333" s="52">
        <v>1</v>
      </c>
      <c r="N333" s="52"/>
      <c r="O333" s="52"/>
      <c r="P333" s="5"/>
      <c r="Q333" s="9"/>
      <c r="R333" s="7"/>
      <c r="S333" s="7"/>
      <c r="T333" s="2"/>
      <c r="U333" s="2"/>
      <c r="V333" s="2"/>
      <c r="W333" s="2"/>
      <c r="X333" s="2"/>
      <c r="Y333" s="2"/>
      <c r="Z333" s="2"/>
      <c r="AA333" s="2"/>
      <c r="AB333" s="2"/>
      <c r="AC333" s="2"/>
      <c r="AD333" s="2"/>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row>
    <row r="334" spans="1:185" x14ac:dyDescent="0.3">
      <c r="A334" s="48"/>
      <c r="B334" s="48"/>
      <c r="C334" s="48"/>
      <c r="D334" s="48"/>
      <c r="E334" s="50" t="s">
        <v>1</v>
      </c>
      <c r="F334" s="58" t="str">
        <f>$C$3</f>
        <v>20/10/2013</v>
      </c>
      <c r="G334" s="48"/>
      <c r="H334" s="58"/>
      <c r="I334" s="50" t="s">
        <v>12</v>
      </c>
      <c r="J334" s="51" t="str">
        <f>L334&amp;" of "&amp;$G$1</f>
        <v>7 of 16</v>
      </c>
      <c r="K334" s="58"/>
      <c r="L334" s="61">
        <f>SUM($M$1:M333)</f>
        <v>7</v>
      </c>
      <c r="M334" s="52"/>
      <c r="N334" s="52"/>
      <c r="O334" s="52"/>
      <c r="P334" s="5"/>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row>
    <row r="335" spans="1:185" x14ac:dyDescent="0.3">
      <c r="A335" s="48"/>
      <c r="B335" s="48"/>
      <c r="C335" s="48"/>
      <c r="D335" s="48"/>
      <c r="E335" s="50" t="s">
        <v>63</v>
      </c>
      <c r="F335" s="58" t="str">
        <f>$C$5</f>
        <v>STANDARD SPREADSHEET METHOD</v>
      </c>
      <c r="G335" s="48"/>
      <c r="H335" s="48"/>
      <c r="I335" s="62"/>
      <c r="J335" s="51"/>
      <c r="K335" s="48"/>
      <c r="L335" s="48"/>
      <c r="M335" s="52"/>
      <c r="N335" s="52"/>
      <c r="O335" s="52"/>
      <c r="P335" s="5"/>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row>
    <row r="336" spans="1:185" ht="15.6" x14ac:dyDescent="0.3">
      <c r="A336" s="12"/>
      <c r="B336" s="64" t="str">
        <f>$G$4</f>
        <v>SECTION PROPERTIES</v>
      </c>
      <c r="C336" s="12"/>
      <c r="D336" s="12"/>
      <c r="E336" s="12"/>
      <c r="F336" s="12"/>
      <c r="G336" s="12"/>
      <c r="H336" s="12"/>
      <c r="I336" s="12"/>
      <c r="J336" s="12"/>
      <c r="K336" s="1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row>
    <row r="337" spans="1:21" x14ac:dyDescent="0.3">
      <c r="A337" s="44"/>
      <c r="B337" s="73"/>
      <c r="C337" s="44"/>
      <c r="D337" s="44"/>
      <c r="E337" s="44"/>
    </row>
    <row r="338" spans="1:21" x14ac:dyDescent="0.3">
      <c r="A338" s="11"/>
      <c r="B338" s="11"/>
      <c r="C338" s="11"/>
      <c r="D338" s="15"/>
      <c r="E338" s="11"/>
      <c r="F338" s="11"/>
      <c r="G338" s="11"/>
      <c r="H338" s="11"/>
      <c r="I338" s="11"/>
      <c r="J338" s="11"/>
      <c r="K338" s="11"/>
    </row>
    <row r="339" spans="1:21" x14ac:dyDescent="0.3">
      <c r="A339" s="30"/>
      <c r="B339" s="31" t="s">
        <v>38</v>
      </c>
    </row>
    <row r="340" spans="1:21" x14ac:dyDescent="0.3">
      <c r="A340" s="18"/>
      <c r="B340" s="18"/>
      <c r="C340" s="18"/>
      <c r="D340" s="18"/>
      <c r="E340" s="18"/>
      <c r="F340" s="18"/>
      <c r="G340" s="18"/>
      <c r="H340" s="18"/>
      <c r="I340" s="18"/>
      <c r="J340" s="18"/>
      <c r="K340" s="18"/>
    </row>
    <row r="341" spans="1:21" x14ac:dyDescent="0.3">
      <c r="A341" s="18"/>
      <c r="B341" s="16" t="s">
        <v>25</v>
      </c>
      <c r="C341" s="20">
        <v>20</v>
      </c>
      <c r="D341" s="18" t="s">
        <v>4</v>
      </c>
      <c r="U341" s="42"/>
    </row>
    <row r="342" spans="1:21" x14ac:dyDescent="0.3">
      <c r="A342" s="18"/>
      <c r="B342" s="16" t="s">
        <v>2</v>
      </c>
      <c r="C342" s="20">
        <v>19</v>
      </c>
      <c r="D342" s="18" t="s">
        <v>4</v>
      </c>
    </row>
    <row r="343" spans="1:21" x14ac:dyDescent="0.3">
      <c r="A343" s="18"/>
      <c r="B343" s="32" t="s">
        <v>27</v>
      </c>
      <c r="C343" s="33">
        <v>10</v>
      </c>
      <c r="D343" s="4" t="s">
        <v>34</v>
      </c>
      <c r="J343" s="21"/>
      <c r="K343" s="18"/>
    </row>
    <row r="344" spans="1:21" x14ac:dyDescent="0.3">
      <c r="A344" s="18"/>
      <c r="B344" s="18"/>
      <c r="U344" s="42"/>
    </row>
    <row r="345" spans="1:21" x14ac:dyDescent="0.3">
      <c r="A345" s="18"/>
      <c r="B345" s="31" t="s">
        <v>28</v>
      </c>
      <c r="G345" s="34" t="s">
        <v>36</v>
      </c>
    </row>
    <row r="346" spans="1:21" x14ac:dyDescent="0.3">
      <c r="A346" s="11"/>
    </row>
    <row r="347" spans="1:21" x14ac:dyDescent="0.3">
      <c r="B347" s="16" t="s">
        <v>31</v>
      </c>
      <c r="C347" s="4" t="str">
        <f>[1]!xln(C348)</f>
        <v>π × (20² - 19²) / 2</v>
      </c>
      <c r="D347" s="11"/>
      <c r="G347" s="16" t="s">
        <v>46</v>
      </c>
      <c r="H347" s="4" t="str">
        <f ca="1">[1]!xlv(H349)</f>
        <v>(Iₓ / A)⁰·⁵</v>
      </c>
    </row>
    <row r="348" spans="1:21" x14ac:dyDescent="0.3">
      <c r="B348" s="16" t="s">
        <v>31</v>
      </c>
      <c r="C348" s="17">
        <f>PI()*(C341^2-C342^2)/2</f>
        <v>61.261056745000964</v>
      </c>
      <c r="D348" s="18" t="s">
        <v>41</v>
      </c>
      <c r="G348" s="16" t="s">
        <v>46</v>
      </c>
      <c r="H348" s="4" t="str">
        <f>[1]!xln(H349)</f>
        <v>(2210 / 61.3)⁰·⁵</v>
      </c>
    </row>
    <row r="349" spans="1:21" x14ac:dyDescent="0.3">
      <c r="G349" s="16" t="s">
        <v>46</v>
      </c>
      <c r="H349" s="35">
        <f>(C361/C348)^0.5</f>
        <v>6.0068712029483402</v>
      </c>
      <c r="I349" s="18" t="s">
        <v>4</v>
      </c>
    </row>
    <row r="350" spans="1:21" x14ac:dyDescent="0.3">
      <c r="B350" s="32" t="s">
        <v>24</v>
      </c>
      <c r="C350" s="4" t="str">
        <f ca="1">[1]!xlv(C351)</f>
        <v>R</v>
      </c>
    </row>
    <row r="351" spans="1:21" x14ac:dyDescent="0.3">
      <c r="B351" s="32" t="s">
        <v>24</v>
      </c>
      <c r="C351" s="22">
        <f>C341</f>
        <v>20</v>
      </c>
      <c r="D351" s="4" t="s">
        <v>4</v>
      </c>
      <c r="G351" s="16" t="s">
        <v>47</v>
      </c>
      <c r="H351" s="4" t="str">
        <f ca="1">[1]!xlv(H353)</f>
        <v>(Iᵧ / A)⁰·⁵</v>
      </c>
    </row>
    <row r="352" spans="1:21" x14ac:dyDescent="0.3">
      <c r="G352" s="16" t="s">
        <v>47</v>
      </c>
      <c r="H352" s="4" t="str">
        <f>[1]!xln(H353)</f>
        <v>(11655 / 61.3)⁰·⁵</v>
      </c>
    </row>
    <row r="353" spans="2:21" x14ac:dyDescent="0.3">
      <c r="B353" s="32" t="s">
        <v>26</v>
      </c>
      <c r="C353" s="4" t="str">
        <f ca="1">[1]!xlv(C355)</f>
        <v>0.424 × (R + (r² / (r + R)))</v>
      </c>
      <c r="G353" s="16" t="s">
        <v>47</v>
      </c>
      <c r="H353" s="22">
        <f>(C365/C348)^0.5</f>
        <v>13.793114224133722</v>
      </c>
      <c r="I353" s="18" t="s">
        <v>4</v>
      </c>
      <c r="U353" s="42"/>
    </row>
    <row r="354" spans="2:21" x14ac:dyDescent="0.3">
      <c r="B354" s="32" t="s">
        <v>26</v>
      </c>
      <c r="C354" s="4" t="str">
        <f>[1]!xln(C355)</f>
        <v>0.424 × (20 + (19² / (19 + 20)))</v>
      </c>
    </row>
    <row r="355" spans="2:21" x14ac:dyDescent="0.3">
      <c r="B355" s="32" t="s">
        <v>26</v>
      </c>
      <c r="C355" s="22">
        <f>0.4244*(C341+(C342^2/(C342+C341)))</f>
        <v>12.416420512820512</v>
      </c>
      <c r="D355" s="4" t="s">
        <v>4</v>
      </c>
    </row>
    <row r="357" spans="2:21" x14ac:dyDescent="0.3">
      <c r="B357" s="31" t="s">
        <v>29</v>
      </c>
      <c r="G357" s="31" t="s">
        <v>30</v>
      </c>
      <c r="H357" s="16"/>
      <c r="I357" s="18"/>
    </row>
    <row r="358" spans="2:21" x14ac:dyDescent="0.3">
      <c r="H358" s="16"/>
      <c r="I358" s="18"/>
    </row>
    <row r="359" spans="2:21" x14ac:dyDescent="0.3">
      <c r="B359" s="16" t="s">
        <v>44</v>
      </c>
      <c r="C359" s="4" t="str">
        <f ca="1">[1]!xlv(C361)</f>
        <v>π / 8 × (R⁴ - r⁴) - π × ẏ² × (R² - r²) / 2</v>
      </c>
      <c r="G359" s="16" t="s">
        <v>44</v>
      </c>
      <c r="H359" s="4" t="str">
        <f ca="1">[1]!xlv(H361)</f>
        <v>W / A × Iₓ</v>
      </c>
    </row>
    <row r="360" spans="2:21" x14ac:dyDescent="0.3">
      <c r="B360" s="16" t="s">
        <v>44</v>
      </c>
      <c r="C360" s="4" t="str">
        <f>[1]!xln(C361)</f>
        <v>π / 8 × (20⁴ - 19⁴) - π × 12.4² × (20² - 19²) / 2</v>
      </c>
      <c r="G360" s="16" t="s">
        <v>44</v>
      </c>
      <c r="H360" s="4" t="str">
        <f>[1]!xln(H361)</f>
        <v>10 / 61.3 × 2210</v>
      </c>
      <c r="I360" s="11"/>
    </row>
    <row r="361" spans="2:21" x14ac:dyDescent="0.3">
      <c r="B361" s="16" t="s">
        <v>44</v>
      </c>
      <c r="C361" s="17">
        <f>PI()/8*(C341^4-C342^4)-PI()*C355^2*(C341^2-C342^2)/2</f>
        <v>2210.4521810093429</v>
      </c>
      <c r="D361" s="18" t="s">
        <v>42</v>
      </c>
      <c r="G361" s="16" t="s">
        <v>44</v>
      </c>
      <c r="H361" s="38">
        <f>C343/C348*C361</f>
        <v>360.8250164881004</v>
      </c>
      <c r="I361" s="4" t="s">
        <v>35</v>
      </c>
    </row>
    <row r="363" spans="2:21" x14ac:dyDescent="0.3">
      <c r="B363" s="32" t="s">
        <v>45</v>
      </c>
      <c r="C363" s="4" t="str">
        <f ca="1">[1]!xlv(C365)</f>
        <v>π / 8 × (R⁴ - r⁴)</v>
      </c>
      <c r="G363" s="32" t="s">
        <v>45</v>
      </c>
      <c r="H363" s="4" t="str">
        <f ca="1">[1]!xlv(H365)</f>
        <v>W / A × Iᵧ</v>
      </c>
    </row>
    <row r="364" spans="2:21" x14ac:dyDescent="0.3">
      <c r="B364" s="32" t="s">
        <v>45</v>
      </c>
      <c r="C364" s="4" t="str">
        <f>[1]!xln(C365)</f>
        <v>π / 8 × (20⁴ - 19⁴)</v>
      </c>
      <c r="G364" s="32" t="s">
        <v>45</v>
      </c>
      <c r="H364" s="4" t="str">
        <f>[1]!xln(H365)</f>
        <v>10 / 61.3 × 11655</v>
      </c>
    </row>
    <row r="365" spans="2:21" x14ac:dyDescent="0.3">
      <c r="B365" s="32" t="s">
        <v>45</v>
      </c>
      <c r="C365" s="38">
        <f>PI()/8*(C341^4-C342^4)</f>
        <v>11654.916045736434</v>
      </c>
      <c r="D365" s="18" t="s">
        <v>42</v>
      </c>
      <c r="G365" s="32" t="s">
        <v>45</v>
      </c>
      <c r="H365" s="38">
        <f>C343/C348*C365</f>
        <v>1902.5000000000002</v>
      </c>
      <c r="I365" s="4" t="s">
        <v>35</v>
      </c>
    </row>
    <row r="367" spans="2:21" ht="15" x14ac:dyDescent="0.3">
      <c r="B367" s="16" t="s">
        <v>50</v>
      </c>
      <c r="C367" s="4" t="str">
        <f ca="1">[1]!xlv(C369)</f>
        <v>Iᵧ + Iₓ</v>
      </c>
      <c r="G367" s="16" t="s">
        <v>50</v>
      </c>
      <c r="H367" s="4" t="str">
        <f ca="1">[1]!xlv(H369)</f>
        <v>Iᵧ + Iₓ</v>
      </c>
    </row>
    <row r="368" spans="2:21" ht="15" x14ac:dyDescent="0.3">
      <c r="B368" s="16" t="s">
        <v>50</v>
      </c>
      <c r="C368" s="4" t="str">
        <f>[1]!xln(C369)</f>
        <v>11655 + 2210</v>
      </c>
      <c r="G368" s="16" t="s">
        <v>50</v>
      </c>
      <c r="H368" s="4" t="str">
        <f>[1]!xln(H369)</f>
        <v>1902 + 361</v>
      </c>
    </row>
    <row r="369" spans="1:11" ht="15" x14ac:dyDescent="0.3">
      <c r="B369" s="16" t="s">
        <v>50</v>
      </c>
      <c r="C369" s="17">
        <f>C365+C361</f>
        <v>13865.368226745777</v>
      </c>
      <c r="D369" s="18" t="s">
        <v>42</v>
      </c>
      <c r="G369" s="16" t="s">
        <v>50</v>
      </c>
      <c r="H369" s="38">
        <f>H365+H361</f>
        <v>2263.3250164881006</v>
      </c>
      <c r="I369" s="4" t="s">
        <v>35</v>
      </c>
    </row>
    <row r="370" spans="1:11" x14ac:dyDescent="0.3">
      <c r="C370" s="16"/>
      <c r="F370" s="26"/>
      <c r="G370" s="26"/>
      <c r="H370" s="26"/>
      <c r="I370" s="26"/>
      <c r="J370" s="16"/>
    </row>
    <row r="371" spans="1:11" x14ac:dyDescent="0.3">
      <c r="D371" s="25"/>
      <c r="E371" s="18"/>
      <c r="F371" s="27"/>
      <c r="I371" s="23"/>
    </row>
    <row r="372" spans="1:11" x14ac:dyDescent="0.3">
      <c r="I372" s="23"/>
    </row>
    <row r="373" spans="1:11" x14ac:dyDescent="0.3">
      <c r="C373" s="16"/>
      <c r="D373" s="28"/>
      <c r="E373" s="18"/>
      <c r="F373" s="23"/>
      <c r="G373" s="23"/>
      <c r="H373" s="23"/>
    </row>
    <row r="384" spans="1:11" x14ac:dyDescent="0.3">
      <c r="A384" s="12"/>
      <c r="B384" s="3"/>
      <c r="C384" s="74"/>
      <c r="D384" s="12"/>
      <c r="E384" s="12"/>
      <c r="F384" s="12"/>
      <c r="G384" s="74"/>
      <c r="H384" s="12"/>
      <c r="I384" s="12"/>
      <c r="J384" s="12"/>
      <c r="K384" s="12"/>
    </row>
    <row r="385" spans="1:185" x14ac:dyDescent="0.3">
      <c r="A385" s="12"/>
      <c r="B385" s="75"/>
      <c r="C385" s="74"/>
      <c r="D385" s="76"/>
      <c r="E385" s="76"/>
      <c r="F385" s="77" t="s">
        <v>105</v>
      </c>
      <c r="G385" s="74"/>
      <c r="H385" s="76"/>
      <c r="I385" s="76"/>
      <c r="J385" s="76"/>
      <c r="K385" s="12"/>
    </row>
    <row r="386" spans="1:185" x14ac:dyDescent="0.3">
      <c r="A386" s="12"/>
      <c r="B386" s="76"/>
      <c r="C386" s="76"/>
      <c r="D386" s="76"/>
      <c r="E386" s="76"/>
      <c r="F386" s="104" t="s">
        <v>106</v>
      </c>
      <c r="G386" s="76"/>
      <c r="H386" s="76"/>
      <c r="I386" s="76"/>
      <c r="J386" s="76"/>
      <c r="K386" s="12"/>
    </row>
    <row r="387" spans="1:185" x14ac:dyDescent="0.3">
      <c r="A387" s="57"/>
      <c r="B387" s="48"/>
      <c r="C387" s="48"/>
      <c r="D387" s="48"/>
      <c r="E387" s="50" t="s">
        <v>5</v>
      </c>
      <c r="F387" s="51" t="str">
        <f>$C$1</f>
        <v>R. Abbott</v>
      </c>
      <c r="G387" s="48"/>
      <c r="H387" s="58"/>
      <c r="I387" s="50" t="s">
        <v>10</v>
      </c>
      <c r="J387" s="59" t="str">
        <f>$G$2</f>
        <v>AA-SM-001-000</v>
      </c>
      <c r="K387" s="60"/>
      <c r="L387" s="61"/>
      <c r="M387" s="52"/>
      <c r="N387" s="52"/>
      <c r="O387" s="52"/>
      <c r="P387" s="5"/>
      <c r="AD387" s="8"/>
    </row>
    <row r="388" spans="1:185" s="10" customFormat="1" x14ac:dyDescent="0.3">
      <c r="A388" s="48"/>
      <c r="B388" s="48"/>
      <c r="C388" s="48"/>
      <c r="D388" s="48"/>
      <c r="E388" s="50" t="s">
        <v>6</v>
      </c>
      <c r="F388" s="58" t="str">
        <f>$C$2</f>
        <v xml:space="preserve"> </v>
      </c>
      <c r="G388" s="48"/>
      <c r="H388" s="58"/>
      <c r="I388" s="50" t="s">
        <v>11</v>
      </c>
      <c r="J388" s="60" t="str">
        <f>$G$3</f>
        <v>B</v>
      </c>
      <c r="K388" s="60"/>
      <c r="L388" s="61"/>
      <c r="M388" s="52">
        <v>1</v>
      </c>
      <c r="N388" s="52"/>
      <c r="O388" s="52"/>
      <c r="P388" s="5"/>
      <c r="Q388" s="9"/>
      <c r="R388" s="7"/>
      <c r="S388" s="7"/>
      <c r="T388" s="2"/>
      <c r="U388" s="2"/>
      <c r="V388" s="2"/>
      <c r="W388" s="2"/>
      <c r="X388" s="2"/>
      <c r="Y388" s="2"/>
      <c r="Z388" s="2"/>
      <c r="AA388" s="2"/>
      <c r="AB388" s="2"/>
      <c r="AC388" s="2"/>
      <c r="AD388" s="2"/>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row>
    <row r="389" spans="1:185" x14ac:dyDescent="0.3">
      <c r="A389" s="48"/>
      <c r="B389" s="48"/>
      <c r="C389" s="48"/>
      <c r="D389" s="48"/>
      <c r="E389" s="50" t="s">
        <v>1</v>
      </c>
      <c r="F389" s="58" t="str">
        <f>$C$3</f>
        <v>20/10/2013</v>
      </c>
      <c r="G389" s="48"/>
      <c r="H389" s="58"/>
      <c r="I389" s="50" t="s">
        <v>12</v>
      </c>
      <c r="J389" s="51" t="str">
        <f>L389&amp;" of "&amp;$G$1</f>
        <v>8 of 16</v>
      </c>
      <c r="K389" s="58"/>
      <c r="L389" s="61">
        <f>SUM($M$1:M388)</f>
        <v>8</v>
      </c>
      <c r="M389" s="52"/>
      <c r="N389" s="52"/>
      <c r="O389" s="52"/>
      <c r="P389" s="5"/>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row>
    <row r="390" spans="1:185" x14ac:dyDescent="0.3">
      <c r="A390" s="48"/>
      <c r="B390" s="48"/>
      <c r="C390" s="48"/>
      <c r="D390" s="48"/>
      <c r="E390" s="50" t="s">
        <v>63</v>
      </c>
      <c r="F390" s="58" t="str">
        <f>$C$5</f>
        <v>STANDARD SPREADSHEET METHOD</v>
      </c>
      <c r="G390" s="48"/>
      <c r="H390" s="48"/>
      <c r="I390" s="62"/>
      <c r="J390" s="51"/>
      <c r="K390" s="48"/>
      <c r="L390" s="48"/>
      <c r="M390" s="52"/>
      <c r="N390" s="52"/>
      <c r="O390" s="52"/>
      <c r="P390" s="5"/>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row>
    <row r="391" spans="1:185" ht="15.6" x14ac:dyDescent="0.3">
      <c r="A391" s="12"/>
      <c r="B391" s="64" t="str">
        <f>$G$4</f>
        <v>SECTION PROPERTIES</v>
      </c>
      <c r="C391" s="12"/>
      <c r="D391" s="12"/>
      <c r="E391" s="12"/>
      <c r="F391" s="12"/>
      <c r="G391" s="12"/>
      <c r="H391" s="12"/>
      <c r="I391" s="12"/>
      <c r="J391" s="12"/>
      <c r="K391" s="1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row>
    <row r="392" spans="1:185" x14ac:dyDescent="0.3">
      <c r="A392" s="44"/>
      <c r="B392" s="4" t="s">
        <v>39</v>
      </c>
      <c r="C392" s="44"/>
      <c r="D392" s="44"/>
      <c r="E392" s="44"/>
    </row>
    <row r="393" spans="1:185" x14ac:dyDescent="0.3">
      <c r="H393" s="34" t="s">
        <v>36</v>
      </c>
    </row>
    <row r="394" spans="1:185" x14ac:dyDescent="0.3">
      <c r="A394" s="30"/>
    </row>
    <row r="395" spans="1:185" x14ac:dyDescent="0.3">
      <c r="A395" s="18"/>
      <c r="B395" s="18"/>
      <c r="C395" s="18"/>
      <c r="D395" s="18"/>
      <c r="E395" s="18"/>
      <c r="F395" s="18"/>
      <c r="G395" s="18"/>
      <c r="H395" s="16" t="s">
        <v>46</v>
      </c>
      <c r="I395" s="4" t="str">
        <f ca="1">[1]!xlv(I397)</f>
        <v>(Iₓ / A)⁰·⁵</v>
      </c>
      <c r="K395" s="18"/>
    </row>
    <row r="396" spans="1:185" x14ac:dyDescent="0.3">
      <c r="A396" s="18"/>
      <c r="B396" s="16" t="s">
        <v>31</v>
      </c>
      <c r="C396" s="24">
        <v>3</v>
      </c>
      <c r="D396" s="18" t="s">
        <v>4</v>
      </c>
      <c r="H396" s="16" t="s">
        <v>46</v>
      </c>
      <c r="I396" s="4" t="str">
        <f>[1]!xln(I397)</f>
        <v>(37.1 / 16.5)⁰·⁵</v>
      </c>
    </row>
    <row r="397" spans="1:185" x14ac:dyDescent="0.3">
      <c r="A397" s="18"/>
      <c r="B397" s="89" t="s">
        <v>32</v>
      </c>
      <c r="C397" s="88">
        <v>1.75</v>
      </c>
      <c r="D397" s="106" t="s">
        <v>4</v>
      </c>
      <c r="E397" s="87"/>
      <c r="F397" s="87"/>
      <c r="G397" s="87"/>
      <c r="H397" s="105" t="s">
        <v>46</v>
      </c>
      <c r="I397" s="105">
        <f>(C411/C403)^0.5</f>
        <v>1.5</v>
      </c>
      <c r="J397" s="18" t="s">
        <v>4</v>
      </c>
    </row>
    <row r="398" spans="1:185" x14ac:dyDescent="0.3">
      <c r="A398" s="18"/>
      <c r="B398" s="89"/>
      <c r="C398" s="88"/>
      <c r="D398" s="87"/>
      <c r="E398" s="87"/>
      <c r="F398" s="87"/>
      <c r="G398" s="87"/>
      <c r="H398" s="87"/>
      <c r="I398" s="87"/>
      <c r="K398" s="18"/>
    </row>
    <row r="399" spans="1:185" x14ac:dyDescent="0.3">
      <c r="A399" s="18"/>
      <c r="B399" s="106"/>
      <c r="C399" s="87"/>
      <c r="D399" s="87"/>
      <c r="E399" s="87"/>
      <c r="F399" s="87"/>
      <c r="G399" s="87"/>
      <c r="H399" s="105" t="s">
        <v>47</v>
      </c>
      <c r="I399" s="87" t="str">
        <f ca="1">[1]!xlv(I401)</f>
        <v>(Iᵧ / A)⁰·⁵</v>
      </c>
    </row>
    <row r="400" spans="1:185" x14ac:dyDescent="0.3">
      <c r="A400" s="18"/>
      <c r="B400" s="107" t="s">
        <v>28</v>
      </c>
      <c r="C400" s="87"/>
      <c r="D400" s="87"/>
      <c r="E400" s="87"/>
      <c r="F400" s="87"/>
      <c r="G400" s="87"/>
      <c r="H400" s="105" t="s">
        <v>47</v>
      </c>
      <c r="I400" s="87" t="str">
        <f>[1]!xln(I401)</f>
        <v>(12.6 / 16.5)⁰·⁵</v>
      </c>
    </row>
    <row r="401" spans="1:11" x14ac:dyDescent="0.3">
      <c r="A401" s="11"/>
      <c r="B401" s="105" t="s">
        <v>31</v>
      </c>
      <c r="C401" s="87" t="str">
        <f ca="1">[1]!xlv(C403)</f>
        <v>π × A × B</v>
      </c>
      <c r="D401" s="87"/>
      <c r="E401" s="87"/>
      <c r="F401" s="87"/>
      <c r="G401" s="87"/>
      <c r="H401" s="105" t="s">
        <v>47</v>
      </c>
      <c r="I401" s="87">
        <f>(G411/C403)^0.5</f>
        <v>0.87499999999999989</v>
      </c>
      <c r="J401" s="18" t="s">
        <v>4</v>
      </c>
    </row>
    <row r="402" spans="1:11" x14ac:dyDescent="0.3">
      <c r="B402" s="105" t="s">
        <v>31</v>
      </c>
      <c r="C402" s="87" t="str">
        <f>[1]!xln(C403)</f>
        <v>π × 3 × 1.75</v>
      </c>
      <c r="D402" s="108"/>
      <c r="E402" s="87"/>
      <c r="F402" s="87"/>
      <c r="G402" s="87"/>
      <c r="H402" s="87"/>
      <c r="I402" s="87"/>
    </row>
    <row r="403" spans="1:11" x14ac:dyDescent="0.3">
      <c r="B403" s="105" t="s">
        <v>31</v>
      </c>
      <c r="C403" s="105">
        <f>PI()*C396*C397</f>
        <v>16.493361431346415</v>
      </c>
      <c r="D403" s="106" t="s">
        <v>41</v>
      </c>
      <c r="E403" s="87"/>
      <c r="F403" s="87"/>
      <c r="G403" s="87"/>
      <c r="H403" s="87"/>
      <c r="I403" s="87"/>
    </row>
    <row r="404" spans="1:11" x14ac:dyDescent="0.3">
      <c r="B404" s="87"/>
      <c r="C404" s="87"/>
      <c r="D404" s="87"/>
      <c r="E404" s="87"/>
      <c r="F404" s="87"/>
      <c r="G404" s="87"/>
      <c r="H404" s="87"/>
      <c r="I404" s="87"/>
    </row>
    <row r="405" spans="1:11" x14ac:dyDescent="0.3">
      <c r="B405" s="107" t="s">
        <v>74</v>
      </c>
      <c r="C405" s="87"/>
      <c r="D405" s="87"/>
      <c r="E405" s="87"/>
      <c r="F405" s="87"/>
      <c r="G405" s="87"/>
      <c r="H405" s="87"/>
      <c r="I405" s="87"/>
    </row>
    <row r="406" spans="1:11" x14ac:dyDescent="0.3">
      <c r="B406" s="89" t="s">
        <v>24</v>
      </c>
      <c r="C406" s="87">
        <f>C396</f>
        <v>3</v>
      </c>
      <c r="D406" s="87" t="s">
        <v>4</v>
      </c>
      <c r="E406" s="89" t="s">
        <v>26</v>
      </c>
      <c r="F406" s="87">
        <f>C397</f>
        <v>1.75</v>
      </c>
      <c r="G406" s="87" t="s">
        <v>4</v>
      </c>
      <c r="H406" s="87"/>
      <c r="I406" s="87"/>
    </row>
    <row r="407" spans="1:11" x14ac:dyDescent="0.3">
      <c r="B407" s="87"/>
      <c r="C407" s="87"/>
      <c r="D407" s="87"/>
      <c r="E407" s="87"/>
      <c r="F407" s="87"/>
      <c r="G407" s="87"/>
      <c r="H407" s="87"/>
      <c r="I407" s="87"/>
    </row>
    <row r="408" spans="1:11" x14ac:dyDescent="0.3">
      <c r="B408" s="107" t="s">
        <v>110</v>
      </c>
      <c r="C408" s="87"/>
      <c r="D408" s="87"/>
      <c r="E408" s="87"/>
      <c r="F408" s="87"/>
      <c r="G408" s="107"/>
      <c r="H408" s="105"/>
      <c r="I408" s="106"/>
    </row>
    <row r="409" spans="1:11" ht="15" x14ac:dyDescent="0.3">
      <c r="B409" s="105" t="s">
        <v>44</v>
      </c>
      <c r="C409" s="87" t="str">
        <f ca="1">[1]!xlv(C411)</f>
        <v>π × B × (A³) / 4</v>
      </c>
      <c r="D409" s="87"/>
      <c r="E409" s="87"/>
      <c r="F409" s="89" t="s">
        <v>45</v>
      </c>
      <c r="G409" s="87" t="str">
        <f ca="1">[1]!xlv(G411)</f>
        <v>π × A × (B³) / 4</v>
      </c>
      <c r="H409" s="87"/>
      <c r="I409" s="105" t="s">
        <v>50</v>
      </c>
      <c r="J409" s="4" t="str">
        <f ca="1">[1]!xlv(J411)</f>
        <v>Iᵧ + Iₓ</v>
      </c>
    </row>
    <row r="410" spans="1:11" ht="15" x14ac:dyDescent="0.3">
      <c r="B410" s="105" t="s">
        <v>44</v>
      </c>
      <c r="C410" s="87" t="str">
        <f>[1]!xln(C411)</f>
        <v>π × 1.75 × (3³) / 4</v>
      </c>
      <c r="D410" s="87"/>
      <c r="E410" s="87"/>
      <c r="F410" s="89" t="s">
        <v>45</v>
      </c>
      <c r="G410" s="87" t="str">
        <f>[1]!xln(G411)</f>
        <v>π × 3 × (1.75³) / 4</v>
      </c>
      <c r="H410" s="87"/>
      <c r="I410" s="105" t="s">
        <v>50</v>
      </c>
      <c r="J410" s="4" t="str">
        <f>[1]!xln(J411)</f>
        <v>12.6 + 37.1</v>
      </c>
    </row>
    <row r="411" spans="1:11" ht="15" x14ac:dyDescent="0.3">
      <c r="B411" s="105" t="s">
        <v>44</v>
      </c>
      <c r="C411" s="105">
        <f>PI()*C397*(C396^3)/4</f>
        <v>37.110063220529433</v>
      </c>
      <c r="D411" s="106" t="s">
        <v>42</v>
      </c>
      <c r="E411" s="87"/>
      <c r="F411" s="89" t="s">
        <v>45</v>
      </c>
      <c r="G411" s="87">
        <f>PI()*C396*(C397^3)/4</f>
        <v>12.627729845874597</v>
      </c>
      <c r="H411" s="106" t="s">
        <v>42</v>
      </c>
      <c r="I411" s="105" t="s">
        <v>50</v>
      </c>
      <c r="J411" s="17">
        <f>G411+C411</f>
        <v>49.737793066404031</v>
      </c>
      <c r="K411" s="18" t="s">
        <v>42</v>
      </c>
    </row>
    <row r="412" spans="1:11" x14ac:dyDescent="0.3">
      <c r="B412" s="87"/>
      <c r="C412" s="87"/>
      <c r="D412" s="87"/>
      <c r="E412" s="87"/>
      <c r="F412" s="87"/>
      <c r="G412" s="87"/>
      <c r="H412" s="87"/>
      <c r="I412" s="87"/>
    </row>
    <row r="413" spans="1:11" x14ac:dyDescent="0.3">
      <c r="B413" s="107" t="s">
        <v>111</v>
      </c>
      <c r="C413" s="87"/>
      <c r="D413" s="87"/>
      <c r="E413" s="87"/>
      <c r="F413" s="87"/>
      <c r="G413" s="87"/>
      <c r="H413" s="87"/>
      <c r="I413" s="87"/>
    </row>
    <row r="414" spans="1:11" x14ac:dyDescent="0.3">
      <c r="B414" s="105" t="s">
        <v>72</v>
      </c>
      <c r="C414" s="87" t="str">
        <f ca="1">[1]!xlv(C416)</f>
        <v>π / 4 × (A² × B)</v>
      </c>
      <c r="D414" s="87"/>
      <c r="E414" s="87"/>
      <c r="F414" s="89" t="s">
        <v>73</v>
      </c>
      <c r="G414" s="87" t="str">
        <f ca="1">[1]!xlv(G416)</f>
        <v>π / 4 × (B² × A)</v>
      </c>
      <c r="H414" s="87"/>
      <c r="I414" s="87"/>
    </row>
    <row r="415" spans="1:11" x14ac:dyDescent="0.3">
      <c r="B415" s="105" t="s">
        <v>72</v>
      </c>
      <c r="C415" s="87" t="str">
        <f>[1]!xln(C416)</f>
        <v>π / 4 × (3² × 1.75)</v>
      </c>
      <c r="D415" s="87"/>
      <c r="E415" s="87"/>
      <c r="F415" s="89" t="s">
        <v>73</v>
      </c>
      <c r="G415" s="87" t="str">
        <f>[1]!xln(G416)</f>
        <v>π / 4 × (1.75² × 3)</v>
      </c>
      <c r="H415" s="87"/>
      <c r="I415" s="87"/>
    </row>
    <row r="416" spans="1:11" x14ac:dyDescent="0.3">
      <c r="B416" s="105" t="s">
        <v>72</v>
      </c>
      <c r="C416" s="87">
        <f>PI()/4*(C396^2*C397)</f>
        <v>12.370021073509811</v>
      </c>
      <c r="D416" s="87" t="s">
        <v>33</v>
      </c>
      <c r="E416" s="87"/>
      <c r="F416" s="89" t="s">
        <v>73</v>
      </c>
      <c r="G416" s="87">
        <f>PI()/4*(C397^2*C396)</f>
        <v>7.2158456262140565</v>
      </c>
      <c r="H416" s="87" t="s">
        <v>33</v>
      </c>
      <c r="I416" s="87"/>
    </row>
    <row r="417" spans="1:19" x14ac:dyDescent="0.3">
      <c r="B417" s="87"/>
      <c r="C417" s="87"/>
      <c r="D417" s="87"/>
      <c r="E417" s="87"/>
      <c r="F417" s="87"/>
      <c r="G417" s="89"/>
      <c r="H417" s="87"/>
      <c r="I417" s="87"/>
      <c r="L417" s="4"/>
      <c r="M417" s="4"/>
      <c r="N417" s="4"/>
      <c r="O417" s="4"/>
      <c r="P417" s="4"/>
      <c r="Q417" s="4"/>
      <c r="R417" s="4"/>
      <c r="S417" s="4"/>
    </row>
    <row r="418" spans="1:19" x14ac:dyDescent="0.3">
      <c r="B418" s="107" t="s">
        <v>115</v>
      </c>
      <c r="C418" s="87"/>
      <c r="D418" s="87"/>
      <c r="E418" s="87"/>
      <c r="F418" s="87"/>
      <c r="G418" s="87"/>
      <c r="H418" s="87"/>
      <c r="I418" s="87"/>
      <c r="L418" s="4"/>
      <c r="M418" s="4"/>
      <c r="N418" s="4"/>
      <c r="O418" s="4"/>
      <c r="P418" s="4"/>
      <c r="Q418" s="4"/>
      <c r="R418" s="4"/>
      <c r="S418" s="4"/>
    </row>
    <row r="419" spans="1:19" x14ac:dyDescent="0.3">
      <c r="A419" s="11"/>
      <c r="B419" s="89" t="s">
        <v>117</v>
      </c>
      <c r="C419" s="87" t="str">
        <f ca="1">[1]!xlv(C421)</f>
        <v>π / 3 × A² × B / Zₓ</v>
      </c>
      <c r="D419" s="87"/>
      <c r="E419" s="87"/>
      <c r="F419" s="89" t="s">
        <v>118</v>
      </c>
      <c r="G419" s="87" t="str">
        <f ca="1">[1]!xlv(G421)</f>
        <v>π / 3 × B² × A / Zᵧ</v>
      </c>
      <c r="H419" s="87"/>
      <c r="I419" s="87"/>
      <c r="K419" s="11"/>
      <c r="L419" s="4"/>
      <c r="M419" s="4"/>
      <c r="N419" s="4"/>
      <c r="O419" s="4"/>
      <c r="P419" s="4"/>
      <c r="Q419" s="4"/>
      <c r="R419" s="4"/>
      <c r="S419" s="4"/>
    </row>
    <row r="420" spans="1:19" x14ac:dyDescent="0.3">
      <c r="A420" s="11"/>
      <c r="B420" s="89" t="s">
        <v>117</v>
      </c>
      <c r="C420" s="87" t="str">
        <f>[1]!xln(C421)</f>
        <v>π / 3 × 3² × 1.75 / 12.4</v>
      </c>
      <c r="D420" s="87"/>
      <c r="E420" s="87"/>
      <c r="F420" s="89" t="s">
        <v>118</v>
      </c>
      <c r="G420" s="87" t="str">
        <f>[1]!xln(G421)</f>
        <v>π / 3 × 1.75² × 3 / 7.22</v>
      </c>
      <c r="H420" s="87"/>
      <c r="I420" s="87"/>
      <c r="K420" s="11"/>
      <c r="L420" s="4"/>
      <c r="M420" s="4"/>
      <c r="N420" s="4"/>
      <c r="O420" s="4"/>
      <c r="P420" s="4"/>
      <c r="Q420" s="4"/>
      <c r="R420" s="4"/>
      <c r="S420" s="4"/>
    </row>
    <row r="421" spans="1:19" x14ac:dyDescent="0.3">
      <c r="B421" s="89" t="s">
        <v>117</v>
      </c>
      <c r="C421" s="87">
        <f>PI()/3*C396^2*C397/C416</f>
        <v>1.3333333333333333</v>
      </c>
      <c r="D421" s="87"/>
      <c r="E421" s="87"/>
      <c r="F421" s="89" t="s">
        <v>118</v>
      </c>
      <c r="G421" s="87">
        <f>PI()/3*C397^2*C396/G416</f>
        <v>1.3333333333333333</v>
      </c>
      <c r="H421" s="87"/>
      <c r="I421" s="87"/>
      <c r="L421" s="4"/>
      <c r="M421" s="4"/>
      <c r="N421" s="4"/>
      <c r="O421" s="4"/>
      <c r="P421" s="4"/>
      <c r="Q421" s="4"/>
      <c r="R421" s="4"/>
      <c r="S421" s="4"/>
    </row>
    <row r="422" spans="1:19" x14ac:dyDescent="0.3">
      <c r="B422" s="87"/>
      <c r="C422" s="87"/>
      <c r="D422" s="87"/>
      <c r="E422" s="87"/>
      <c r="F422" s="87"/>
      <c r="G422" s="105"/>
      <c r="H422" s="87"/>
      <c r="I422" s="87"/>
      <c r="L422" s="4"/>
      <c r="M422" s="4"/>
      <c r="N422" s="4"/>
      <c r="O422" s="4"/>
      <c r="P422" s="4"/>
      <c r="Q422" s="4"/>
      <c r="R422" s="4"/>
      <c r="S422" s="4"/>
    </row>
    <row r="423" spans="1:19" x14ac:dyDescent="0.3">
      <c r="G423" s="16"/>
      <c r="H423" s="38"/>
      <c r="L423" s="4"/>
      <c r="M423" s="4"/>
      <c r="N423" s="4"/>
      <c r="O423" s="4"/>
      <c r="P423" s="4"/>
      <c r="Q423" s="4"/>
      <c r="R423" s="4"/>
      <c r="S423" s="4"/>
    </row>
    <row r="424" spans="1:19" x14ac:dyDescent="0.3">
      <c r="B424" s="11"/>
      <c r="C424" s="16"/>
      <c r="D424" s="25"/>
      <c r="E424" s="18"/>
      <c r="L424" s="4"/>
      <c r="M424" s="4"/>
      <c r="N424" s="4"/>
      <c r="O424" s="4"/>
      <c r="P424" s="4"/>
      <c r="Q424" s="4"/>
      <c r="R424" s="4"/>
      <c r="S424" s="4"/>
    </row>
    <row r="425" spans="1:19" x14ac:dyDescent="0.3">
      <c r="L425" s="4"/>
      <c r="M425" s="4"/>
      <c r="N425" s="4"/>
      <c r="O425" s="4"/>
      <c r="P425" s="4"/>
      <c r="Q425" s="4"/>
      <c r="R425" s="4"/>
      <c r="S425" s="4"/>
    </row>
    <row r="426" spans="1:19" x14ac:dyDescent="0.3">
      <c r="L426" s="4"/>
      <c r="M426" s="4"/>
      <c r="N426" s="4"/>
      <c r="O426" s="4"/>
      <c r="P426" s="4"/>
      <c r="Q426" s="4"/>
      <c r="R426" s="4"/>
      <c r="S426" s="4"/>
    </row>
    <row r="427" spans="1:19" x14ac:dyDescent="0.3">
      <c r="L427" s="4"/>
      <c r="M427" s="4"/>
      <c r="N427" s="4"/>
      <c r="O427" s="4"/>
      <c r="P427" s="4"/>
      <c r="Q427" s="4"/>
      <c r="R427" s="4"/>
      <c r="S427" s="4"/>
    </row>
    <row r="428" spans="1:19" x14ac:dyDescent="0.3">
      <c r="L428" s="4"/>
      <c r="M428" s="4"/>
      <c r="N428" s="4"/>
      <c r="O428" s="4"/>
      <c r="P428" s="4"/>
      <c r="Q428" s="4"/>
      <c r="R428" s="4"/>
      <c r="S428" s="4"/>
    </row>
    <row r="430" spans="1:19" x14ac:dyDescent="0.3">
      <c r="L430" s="4"/>
      <c r="M430" s="4"/>
      <c r="N430" s="4"/>
      <c r="O430" s="4"/>
      <c r="P430" s="4"/>
      <c r="Q430" s="4"/>
      <c r="R430" s="4"/>
      <c r="S430" s="4"/>
    </row>
    <row r="431" spans="1:19" x14ac:dyDescent="0.3">
      <c r="L431" s="4"/>
      <c r="M431" s="4"/>
      <c r="N431" s="4"/>
      <c r="O431" s="4"/>
      <c r="P431" s="4"/>
      <c r="Q431" s="4"/>
      <c r="R431" s="4"/>
      <c r="S431" s="4"/>
    </row>
    <row r="432" spans="1:19" x14ac:dyDescent="0.3">
      <c r="L432" s="4"/>
      <c r="M432" s="4"/>
      <c r="N432" s="4"/>
      <c r="O432" s="4"/>
      <c r="P432" s="4"/>
      <c r="Q432" s="4"/>
      <c r="R432" s="4"/>
      <c r="S432" s="4"/>
    </row>
    <row r="433" spans="1:185" x14ac:dyDescent="0.3">
      <c r="L433" s="4"/>
      <c r="M433" s="4"/>
      <c r="N433" s="4"/>
      <c r="O433" s="4"/>
      <c r="P433" s="4"/>
      <c r="Q433" s="4"/>
      <c r="R433" s="4"/>
      <c r="S433" s="4"/>
    </row>
    <row r="434" spans="1:185" x14ac:dyDescent="0.3">
      <c r="L434" s="4"/>
      <c r="M434" s="4"/>
      <c r="N434" s="4"/>
      <c r="O434" s="4"/>
      <c r="P434" s="4"/>
      <c r="Q434" s="4"/>
      <c r="R434" s="4"/>
      <c r="S434" s="4"/>
    </row>
    <row r="435" spans="1:185" x14ac:dyDescent="0.3">
      <c r="L435" s="4"/>
      <c r="M435" s="4"/>
      <c r="N435" s="4"/>
      <c r="O435" s="4"/>
      <c r="P435" s="4"/>
      <c r="Q435" s="4"/>
      <c r="R435" s="4"/>
      <c r="S435" s="4"/>
    </row>
    <row r="436" spans="1:185" x14ac:dyDescent="0.3">
      <c r="L436" s="4"/>
      <c r="M436" s="4"/>
      <c r="N436" s="4"/>
      <c r="O436" s="4"/>
      <c r="P436" s="4"/>
      <c r="Q436" s="4"/>
      <c r="R436" s="4"/>
      <c r="S436" s="4"/>
    </row>
    <row r="437" spans="1:185" x14ac:dyDescent="0.3">
      <c r="L437" s="4"/>
      <c r="M437" s="4"/>
      <c r="N437" s="4"/>
      <c r="O437" s="4"/>
      <c r="P437" s="4"/>
      <c r="Q437" s="4"/>
      <c r="R437" s="4"/>
      <c r="S437" s="4"/>
    </row>
    <row r="438" spans="1:185" x14ac:dyDescent="0.3">
      <c r="L438" s="4"/>
      <c r="M438" s="4"/>
      <c r="N438" s="4"/>
      <c r="O438" s="4"/>
      <c r="P438" s="4"/>
      <c r="Q438" s="4"/>
      <c r="R438" s="4"/>
      <c r="S438" s="4"/>
    </row>
    <row r="439" spans="1:185" x14ac:dyDescent="0.3">
      <c r="A439" s="12"/>
      <c r="B439" s="3"/>
      <c r="C439" s="74"/>
      <c r="D439" s="12"/>
      <c r="E439" s="12"/>
      <c r="F439" s="12"/>
      <c r="G439" s="74"/>
      <c r="H439" s="12"/>
      <c r="I439" s="12"/>
      <c r="J439" s="12"/>
      <c r="K439" s="12"/>
    </row>
    <row r="440" spans="1:185" x14ac:dyDescent="0.3">
      <c r="A440" s="12"/>
      <c r="B440" s="75"/>
      <c r="C440" s="74"/>
      <c r="D440" s="76"/>
      <c r="E440" s="76"/>
      <c r="F440" s="77" t="s">
        <v>105</v>
      </c>
      <c r="G440" s="74"/>
      <c r="H440" s="76"/>
      <c r="I440" s="76"/>
      <c r="J440" s="76"/>
      <c r="K440" s="12"/>
    </row>
    <row r="441" spans="1:185" x14ac:dyDescent="0.3">
      <c r="A441" s="12"/>
      <c r="B441" s="76"/>
      <c r="C441" s="76"/>
      <c r="D441" s="76"/>
      <c r="E441" s="76"/>
      <c r="F441" s="104" t="s">
        <v>106</v>
      </c>
      <c r="G441" s="76"/>
      <c r="H441" s="76"/>
      <c r="I441" s="76"/>
      <c r="J441" s="76"/>
      <c r="K441" s="12"/>
    </row>
    <row r="442" spans="1:185" x14ac:dyDescent="0.3">
      <c r="A442" s="57"/>
      <c r="B442" s="48"/>
      <c r="C442" s="48"/>
      <c r="D442" s="48"/>
      <c r="E442" s="50" t="s">
        <v>5</v>
      </c>
      <c r="F442" s="51" t="str">
        <f>$C$1</f>
        <v>R. Abbott</v>
      </c>
      <c r="G442" s="48"/>
      <c r="H442" s="58"/>
      <c r="I442" s="50" t="s">
        <v>10</v>
      </c>
      <c r="J442" s="59" t="str">
        <f>$G$2</f>
        <v>AA-SM-001-000</v>
      </c>
      <c r="K442" s="60"/>
      <c r="L442" s="61"/>
      <c r="M442" s="52"/>
      <c r="N442" s="52"/>
      <c r="O442" s="52"/>
      <c r="P442" s="5"/>
      <c r="AD442" s="8"/>
    </row>
    <row r="443" spans="1:185" s="10" customFormat="1" x14ac:dyDescent="0.3">
      <c r="A443" s="48"/>
      <c r="B443" s="48"/>
      <c r="C443" s="48"/>
      <c r="D443" s="48"/>
      <c r="E443" s="50" t="s">
        <v>6</v>
      </c>
      <c r="F443" s="58" t="str">
        <f>$C$2</f>
        <v xml:space="preserve"> </v>
      </c>
      <c r="G443" s="48"/>
      <c r="H443" s="58"/>
      <c r="I443" s="50" t="s">
        <v>11</v>
      </c>
      <c r="J443" s="60" t="str">
        <f>$G$3</f>
        <v>B</v>
      </c>
      <c r="K443" s="60"/>
      <c r="L443" s="61"/>
      <c r="M443" s="52">
        <v>1</v>
      </c>
      <c r="N443" s="52"/>
      <c r="O443" s="52"/>
      <c r="P443" s="5"/>
      <c r="Q443" s="9"/>
      <c r="R443" s="7"/>
      <c r="S443" s="7"/>
      <c r="T443" s="2"/>
      <c r="U443" s="2"/>
      <c r="V443" s="2"/>
      <c r="W443" s="2"/>
      <c r="X443" s="2"/>
      <c r="Y443" s="2"/>
      <c r="Z443" s="2"/>
      <c r="AA443" s="2"/>
      <c r="AB443" s="2"/>
      <c r="AC443" s="2"/>
      <c r="AD443" s="2"/>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row>
    <row r="444" spans="1:185" x14ac:dyDescent="0.3">
      <c r="A444" s="48"/>
      <c r="B444" s="48"/>
      <c r="C444" s="48"/>
      <c r="D444" s="48"/>
      <c r="E444" s="50" t="s">
        <v>1</v>
      </c>
      <c r="F444" s="58" t="str">
        <f>$C$3</f>
        <v>20/10/2013</v>
      </c>
      <c r="G444" s="48"/>
      <c r="H444" s="58"/>
      <c r="I444" s="50" t="s">
        <v>12</v>
      </c>
      <c r="J444" s="51" t="str">
        <f>L444&amp;" of "&amp;$G$1</f>
        <v>9 of 16</v>
      </c>
      <c r="K444" s="58"/>
      <c r="L444" s="61">
        <f>SUM($M$1:M443)</f>
        <v>9</v>
      </c>
      <c r="M444" s="52"/>
      <c r="N444" s="52"/>
      <c r="O444" s="52"/>
      <c r="P444" s="5"/>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row>
    <row r="445" spans="1:185" x14ac:dyDescent="0.3">
      <c r="A445" s="48"/>
      <c r="B445" s="48"/>
      <c r="C445" s="48"/>
      <c r="D445" s="48"/>
      <c r="E445" s="50" t="s">
        <v>63</v>
      </c>
      <c r="F445" s="58" t="str">
        <f>$C$5</f>
        <v>STANDARD SPREADSHEET METHOD</v>
      </c>
      <c r="G445" s="48"/>
      <c r="H445" s="48"/>
      <c r="I445" s="62"/>
      <c r="J445" s="51"/>
      <c r="K445" s="48"/>
      <c r="L445" s="48"/>
      <c r="M445" s="52"/>
      <c r="N445" s="52"/>
      <c r="O445" s="52"/>
      <c r="P445" s="5"/>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row>
    <row r="446" spans="1:185" ht="15.6" x14ac:dyDescent="0.3">
      <c r="A446" s="12"/>
      <c r="B446" s="64" t="str">
        <f>$G$4</f>
        <v>SECTION PROPERTIES</v>
      </c>
      <c r="C446" s="12"/>
      <c r="D446" s="12"/>
      <c r="E446" s="12"/>
      <c r="F446" s="12"/>
      <c r="G446" s="12"/>
      <c r="H446" s="12"/>
      <c r="I446" s="12"/>
      <c r="J446" s="12"/>
      <c r="K446" s="1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row>
    <row r="447" spans="1:185" x14ac:dyDescent="0.3">
      <c r="A447" s="44"/>
      <c r="B447" s="4" t="s">
        <v>40</v>
      </c>
      <c r="C447" s="44"/>
      <c r="D447" s="44"/>
      <c r="E447" s="44"/>
    </row>
    <row r="448" spans="1:185" x14ac:dyDescent="0.3">
      <c r="A448" s="11"/>
      <c r="B448" s="11"/>
      <c r="C448" s="11"/>
      <c r="D448" s="15"/>
      <c r="E448" s="11"/>
      <c r="F448" s="11"/>
      <c r="G448" s="11"/>
      <c r="H448" s="34" t="s">
        <v>36</v>
      </c>
      <c r="I448" s="11"/>
      <c r="J448" s="11"/>
      <c r="K448" s="11"/>
    </row>
    <row r="449" spans="1:23" x14ac:dyDescent="0.3">
      <c r="A449" s="30"/>
      <c r="B449" s="16" t="s">
        <v>31</v>
      </c>
      <c r="C449" s="24">
        <v>12</v>
      </c>
      <c r="D449" s="18" t="s">
        <v>4</v>
      </c>
      <c r="H449" s="16" t="s">
        <v>46</v>
      </c>
      <c r="I449" s="4" t="str">
        <f ca="1">[1]!xlv(I451)</f>
        <v>(Iₓ / A)⁰·⁵</v>
      </c>
    </row>
    <row r="450" spans="1:23" x14ac:dyDescent="0.3">
      <c r="A450" s="18"/>
      <c r="B450" s="32" t="s">
        <v>32</v>
      </c>
      <c r="C450" s="88">
        <v>13</v>
      </c>
      <c r="D450" s="18" t="s">
        <v>4</v>
      </c>
      <c r="E450" s="18"/>
      <c r="F450" s="18"/>
      <c r="G450" s="18"/>
      <c r="H450" s="16" t="s">
        <v>46</v>
      </c>
      <c r="I450" s="4" t="str">
        <f>[1]!xln(I451)</f>
        <v>(650 / 7.85)⁰·⁵</v>
      </c>
      <c r="K450" s="18"/>
      <c r="V450" s="43"/>
      <c r="W450" s="112"/>
    </row>
    <row r="451" spans="1:23" x14ac:dyDescent="0.3">
      <c r="A451" s="18"/>
      <c r="B451" s="16" t="s">
        <v>49</v>
      </c>
      <c r="C451" s="24">
        <v>0.1</v>
      </c>
      <c r="D451" s="18" t="s">
        <v>4</v>
      </c>
      <c r="H451" s="16" t="s">
        <v>46</v>
      </c>
      <c r="I451" s="105">
        <f>(C466/C458)^0.5</f>
        <v>9.1</v>
      </c>
      <c r="J451" s="18" t="s">
        <v>4</v>
      </c>
      <c r="V451" s="43"/>
      <c r="W451" s="112"/>
    </row>
    <row r="452" spans="1:23" x14ac:dyDescent="0.3">
      <c r="A452" s="18"/>
      <c r="B452" s="32"/>
      <c r="C452" s="33"/>
      <c r="D452" s="18"/>
      <c r="H452" s="41" t="str">
        <f>IF(C452&gt;C450,"ERROR","")</f>
        <v/>
      </c>
      <c r="I452" s="87"/>
    </row>
    <row r="453" spans="1:23" x14ac:dyDescent="0.3">
      <c r="A453" s="18"/>
      <c r="B453" s="32"/>
      <c r="C453" s="33"/>
      <c r="H453" s="16" t="s">
        <v>47</v>
      </c>
      <c r="I453" s="87" t="str">
        <f ca="1">[1]!xlv(I455)</f>
        <v>(Iᵧ / A)⁰·⁵</v>
      </c>
      <c r="K453" s="18"/>
    </row>
    <row r="454" spans="1:23" x14ac:dyDescent="0.3">
      <c r="A454" s="18"/>
      <c r="B454" s="18"/>
      <c r="H454" s="16" t="s">
        <v>47</v>
      </c>
      <c r="I454" s="87" t="str">
        <f>[1]!xln(I455)</f>
        <v>(577 / 7.85)⁰·⁵</v>
      </c>
    </row>
    <row r="455" spans="1:23" x14ac:dyDescent="0.3">
      <c r="A455" s="18"/>
      <c r="B455" s="31" t="s">
        <v>28</v>
      </c>
      <c r="H455" s="16" t="s">
        <v>47</v>
      </c>
      <c r="I455" s="87">
        <f>(H466/C458)^0.5</f>
        <v>8.5697141142514202</v>
      </c>
      <c r="J455" s="18" t="s">
        <v>4</v>
      </c>
    </row>
    <row r="456" spans="1:23" x14ac:dyDescent="0.3">
      <c r="A456" s="11"/>
      <c r="B456" s="16" t="s">
        <v>31</v>
      </c>
      <c r="C456" s="4" t="str">
        <f ca="1">[1]!xlv(C458)</f>
        <v>π × (A + B) × t</v>
      </c>
    </row>
    <row r="457" spans="1:23" x14ac:dyDescent="0.3">
      <c r="B457" s="16" t="s">
        <v>31</v>
      </c>
      <c r="C457" s="4" t="str">
        <f>[1]!xln(C458)</f>
        <v>π × (12 + 13) × 0.1</v>
      </c>
      <c r="D457" s="11"/>
    </row>
    <row r="458" spans="1:23" x14ac:dyDescent="0.3">
      <c r="B458" s="16" t="s">
        <v>31</v>
      </c>
      <c r="C458" s="105">
        <f>PI()*(C449+C450)*C451</f>
        <v>7.8539816339744837</v>
      </c>
      <c r="D458" s="18" t="s">
        <v>41</v>
      </c>
    </row>
    <row r="460" spans="1:23" x14ac:dyDescent="0.3">
      <c r="B460" s="31" t="s">
        <v>74</v>
      </c>
    </row>
    <row r="461" spans="1:23" x14ac:dyDescent="0.3">
      <c r="B461" s="32" t="s">
        <v>24</v>
      </c>
      <c r="C461" s="22">
        <f>C449</f>
        <v>12</v>
      </c>
      <c r="D461" s="4" t="s">
        <v>4</v>
      </c>
      <c r="E461" s="32" t="s">
        <v>26</v>
      </c>
      <c r="F461" s="22">
        <f>C450</f>
        <v>13</v>
      </c>
      <c r="G461" s="4" t="s">
        <v>4</v>
      </c>
    </row>
    <row r="463" spans="1:23" x14ac:dyDescent="0.3">
      <c r="B463" s="31" t="s">
        <v>110</v>
      </c>
      <c r="G463" s="31"/>
      <c r="H463" s="16"/>
      <c r="I463" s="18"/>
    </row>
    <row r="464" spans="1:23" x14ac:dyDescent="0.3">
      <c r="B464" s="16" t="s">
        <v>44</v>
      </c>
      <c r="C464" s="4" t="str">
        <f ca="1">[1]!xlv(C466)</f>
        <v>π / 4 × B³ × t × (1 + 3 × A / B)</v>
      </c>
      <c r="G464" s="32" t="s">
        <v>45</v>
      </c>
      <c r="H464" s="4" t="str">
        <f ca="1">[1]!xlv(H466)</f>
        <v>π / 4 × A³ × t × (1 + 3 × B / A)</v>
      </c>
    </row>
    <row r="465" spans="1:11" x14ac:dyDescent="0.3">
      <c r="B465" s="16" t="s">
        <v>44</v>
      </c>
      <c r="C465" s="4" t="str">
        <f>[1]!xln(C466)</f>
        <v>π / 4 × 13³ × 0.1 × (1 + 3 × 12 / 13)</v>
      </c>
      <c r="G465" s="32" t="s">
        <v>45</v>
      </c>
      <c r="H465" s="4" t="str">
        <f>[1]!xln(H466)</f>
        <v>π / 4 × 12³ × 0.1 × (1 + 3 × 13 / 12)</v>
      </c>
    </row>
    <row r="466" spans="1:11" x14ac:dyDescent="0.3">
      <c r="B466" s="16" t="s">
        <v>44</v>
      </c>
      <c r="C466" s="100">
        <f>PI()/4*C450^3*C451*(1+3*C449/C450)</f>
        <v>650.38821910942693</v>
      </c>
      <c r="D466" s="18" t="s">
        <v>42</v>
      </c>
      <c r="G466" s="32" t="s">
        <v>45</v>
      </c>
      <c r="H466" s="99">
        <f>PI()/4*C449^3*C451*(1+3*C450/C449)</f>
        <v>576.79641119908604</v>
      </c>
      <c r="I466" s="18" t="s">
        <v>42</v>
      </c>
    </row>
    <row r="467" spans="1:11" x14ac:dyDescent="0.3">
      <c r="G467" s="16"/>
      <c r="H467" s="38"/>
    </row>
    <row r="468" spans="1:11" ht="15" x14ac:dyDescent="0.3">
      <c r="A468" s="11"/>
      <c r="B468" s="16" t="s">
        <v>50</v>
      </c>
      <c r="C468" s="4" t="str">
        <f ca="1">[1]!xlv(C470)</f>
        <v>Iᵧ + Iₓ</v>
      </c>
    </row>
    <row r="469" spans="1:11" ht="15" x14ac:dyDescent="0.3">
      <c r="A469" s="11"/>
      <c r="B469" s="16" t="s">
        <v>50</v>
      </c>
      <c r="C469" s="4" t="str">
        <f>[1]!xln(C470)</f>
        <v>577 + 650</v>
      </c>
      <c r="G469" s="32"/>
    </row>
    <row r="470" spans="1:11" ht="15" x14ac:dyDescent="0.3">
      <c r="A470" s="11"/>
      <c r="B470" s="16" t="s">
        <v>50</v>
      </c>
      <c r="C470" s="105">
        <f>H466+C466</f>
        <v>1227.1846303085131</v>
      </c>
      <c r="D470" s="18" t="s">
        <v>42</v>
      </c>
      <c r="G470" s="32"/>
    </row>
    <row r="472" spans="1:11" x14ac:dyDescent="0.3">
      <c r="B472" s="31" t="s">
        <v>111</v>
      </c>
    </row>
    <row r="473" spans="1:11" x14ac:dyDescent="0.3">
      <c r="B473" s="16" t="s">
        <v>72</v>
      </c>
      <c r="C473" s="87" t="str">
        <f ca="1">[1]!xlv(C475)</f>
        <v>π / 4 × B² × t × (1 + 3 × A / B)</v>
      </c>
      <c r="D473" s="87"/>
      <c r="E473" s="87"/>
      <c r="G473" s="32" t="s">
        <v>73</v>
      </c>
      <c r="H473" s="4" t="str">
        <f ca="1">[1]!xlv(H475)</f>
        <v>π / 4 × A² × t × (1 + 3 × B / A)</v>
      </c>
      <c r="K473" s="11"/>
    </row>
    <row r="474" spans="1:11" x14ac:dyDescent="0.3">
      <c r="B474" s="16" t="s">
        <v>72</v>
      </c>
      <c r="C474" s="87" t="str">
        <f>[1]!xln(C475)</f>
        <v>π / 4 × 13² × 0.1 × (1 + 3 × 12 / 13)</v>
      </c>
      <c r="D474" s="87"/>
      <c r="E474" s="87"/>
      <c r="G474" s="32" t="s">
        <v>73</v>
      </c>
      <c r="H474" s="4" t="str">
        <f>[1]!xln(H475)</f>
        <v>π / 4 × 12² × 0.1 × (1 + 3 × 13 / 12)</v>
      </c>
    </row>
    <row r="475" spans="1:11" x14ac:dyDescent="0.3">
      <c r="B475" s="16" t="s">
        <v>72</v>
      </c>
      <c r="C475" s="87">
        <f>PI()/4*C450^2*C451*(1+3*C449/C450)</f>
        <v>50.029863008417458</v>
      </c>
      <c r="D475" s="87" t="s">
        <v>33</v>
      </c>
      <c r="E475" s="87"/>
      <c r="F475" s="87"/>
      <c r="G475" s="89" t="s">
        <v>73</v>
      </c>
      <c r="H475" s="87">
        <f>PI()/4*C449^2*C451*(1+3*C450/C449)</f>
        <v>48.066367599923836</v>
      </c>
      <c r="I475" s="4" t="s">
        <v>33</v>
      </c>
    </row>
    <row r="477" spans="1:11" x14ac:dyDescent="0.3">
      <c r="A477" s="113"/>
      <c r="B477" s="114"/>
      <c r="C477" s="115"/>
      <c r="D477" s="115"/>
      <c r="E477" s="115"/>
      <c r="F477" s="115"/>
      <c r="G477" s="115"/>
      <c r="H477" s="115"/>
      <c r="I477" s="115"/>
      <c r="J477" s="113"/>
      <c r="K477" s="113"/>
    </row>
    <row r="478" spans="1:11" x14ac:dyDescent="0.3">
      <c r="A478" s="116"/>
      <c r="B478" s="117"/>
      <c r="C478" s="115"/>
      <c r="D478" s="115"/>
      <c r="E478" s="115"/>
      <c r="F478" s="113"/>
      <c r="G478" s="117"/>
      <c r="H478" s="115"/>
      <c r="I478" s="115"/>
      <c r="J478" s="113"/>
      <c r="K478" s="116"/>
    </row>
    <row r="479" spans="1:11" x14ac:dyDescent="0.3">
      <c r="A479" s="116"/>
      <c r="B479" s="117"/>
      <c r="C479" s="115"/>
      <c r="D479" s="115"/>
      <c r="E479" s="115"/>
      <c r="F479" s="113"/>
      <c r="G479" s="117"/>
      <c r="H479" s="115"/>
      <c r="I479" s="115"/>
      <c r="J479" s="113"/>
      <c r="K479" s="116"/>
    </row>
    <row r="480" spans="1:11" x14ac:dyDescent="0.3">
      <c r="A480" s="113"/>
      <c r="B480" s="117"/>
      <c r="C480" s="115"/>
      <c r="D480" s="115"/>
      <c r="E480" s="115"/>
      <c r="F480" s="113"/>
      <c r="G480" s="117"/>
      <c r="H480" s="115"/>
      <c r="I480" s="115"/>
      <c r="J480" s="113"/>
      <c r="K480" s="113"/>
    </row>
    <row r="481" spans="1:11" x14ac:dyDescent="0.3">
      <c r="A481" s="113"/>
      <c r="B481" s="113"/>
      <c r="C481" s="113"/>
      <c r="D481" s="113"/>
      <c r="E481" s="113"/>
      <c r="F481" s="113"/>
      <c r="G481" s="113"/>
      <c r="H481" s="113"/>
      <c r="I481" s="113"/>
      <c r="J481" s="113"/>
      <c r="K481" s="113"/>
    </row>
    <row r="482" spans="1:11" x14ac:dyDescent="0.3">
      <c r="A482" s="113"/>
      <c r="B482" s="113"/>
      <c r="C482" s="113"/>
      <c r="D482" s="113"/>
      <c r="E482" s="113"/>
      <c r="F482" s="113"/>
      <c r="G482" s="113"/>
      <c r="H482" s="113"/>
      <c r="I482" s="118"/>
      <c r="J482" s="113"/>
      <c r="K482" s="113"/>
    </row>
    <row r="483" spans="1:11" x14ac:dyDescent="0.3">
      <c r="A483" s="113"/>
      <c r="B483" s="113"/>
      <c r="C483" s="119"/>
      <c r="D483" s="28"/>
      <c r="E483" s="120"/>
      <c r="F483" s="118"/>
      <c r="G483" s="118"/>
      <c r="H483" s="118"/>
      <c r="I483" s="113"/>
      <c r="J483" s="113"/>
      <c r="K483" s="113"/>
    </row>
    <row r="484" spans="1:11" x14ac:dyDescent="0.3">
      <c r="A484" s="113"/>
      <c r="B484" s="113"/>
      <c r="C484" s="113"/>
      <c r="D484" s="28"/>
      <c r="E484" s="120"/>
      <c r="F484" s="118"/>
      <c r="G484" s="118"/>
      <c r="H484" s="118"/>
      <c r="I484" s="113"/>
      <c r="J484" s="113"/>
      <c r="K484" s="113"/>
    </row>
    <row r="485" spans="1:11" x14ac:dyDescent="0.3">
      <c r="A485" s="113"/>
      <c r="B485" s="113"/>
      <c r="C485" s="121"/>
      <c r="D485" s="113"/>
      <c r="E485" s="113"/>
      <c r="F485" s="113"/>
      <c r="G485" s="113"/>
      <c r="H485" s="113"/>
      <c r="I485" s="113"/>
      <c r="J485" s="113"/>
      <c r="K485" s="113"/>
    </row>
    <row r="486" spans="1:11" x14ac:dyDescent="0.3">
      <c r="A486" s="113"/>
      <c r="B486" s="113"/>
      <c r="C486" s="113"/>
      <c r="D486" s="113"/>
      <c r="E486" s="113"/>
      <c r="F486" s="113"/>
      <c r="G486" s="113"/>
      <c r="H486" s="113"/>
      <c r="I486" s="113"/>
      <c r="J486" s="113"/>
      <c r="K486" s="113"/>
    </row>
    <row r="487" spans="1:11" x14ac:dyDescent="0.3">
      <c r="A487" s="113"/>
      <c r="B487" s="113"/>
      <c r="C487" s="113"/>
      <c r="D487" s="113"/>
      <c r="E487" s="113"/>
      <c r="F487" s="113"/>
      <c r="G487" s="113"/>
      <c r="H487" s="113"/>
      <c r="I487" s="113"/>
      <c r="J487" s="113"/>
      <c r="K487" s="113"/>
    </row>
    <row r="488" spans="1:11" x14ac:dyDescent="0.3">
      <c r="A488" s="113"/>
      <c r="B488" s="113"/>
      <c r="C488" s="122"/>
      <c r="D488" s="113"/>
      <c r="E488" s="113"/>
      <c r="F488" s="113"/>
      <c r="G488" s="113"/>
      <c r="H488" s="113"/>
      <c r="I488" s="113"/>
      <c r="J488" s="113"/>
      <c r="K488" s="113"/>
    </row>
    <row r="489" spans="1:11" x14ac:dyDescent="0.3">
      <c r="A489" s="113"/>
      <c r="B489" s="113"/>
      <c r="C489" s="113"/>
      <c r="D489" s="113"/>
      <c r="E489" s="113"/>
      <c r="F489" s="113"/>
      <c r="G489" s="113"/>
      <c r="H489" s="113"/>
      <c r="I489" s="113"/>
      <c r="J489" s="113"/>
      <c r="K489" s="113"/>
    </row>
    <row r="494" spans="1:11" x14ac:dyDescent="0.3">
      <c r="A494" s="12"/>
      <c r="B494" s="3"/>
      <c r="C494" s="74"/>
      <c r="D494" s="12"/>
      <c r="E494" s="12"/>
      <c r="F494" s="12"/>
      <c r="G494" s="74"/>
      <c r="H494" s="12"/>
      <c r="I494" s="12"/>
      <c r="J494" s="12"/>
      <c r="K494" s="12"/>
    </row>
    <row r="495" spans="1:11" x14ac:dyDescent="0.3">
      <c r="A495" s="12"/>
      <c r="B495" s="75"/>
      <c r="C495" s="74"/>
      <c r="D495" s="76"/>
      <c r="E495" s="76"/>
      <c r="F495" s="77" t="s">
        <v>105</v>
      </c>
      <c r="G495" s="74"/>
      <c r="H495" s="76"/>
      <c r="I495" s="76"/>
      <c r="J495" s="76"/>
      <c r="K495" s="12"/>
    </row>
    <row r="496" spans="1:11" x14ac:dyDescent="0.3">
      <c r="A496" s="12"/>
      <c r="B496" s="76"/>
      <c r="C496" s="76"/>
      <c r="D496" s="76"/>
      <c r="E496" s="76"/>
      <c r="F496" s="104" t="s">
        <v>106</v>
      </c>
      <c r="G496" s="76"/>
      <c r="H496" s="76"/>
      <c r="I496" s="76"/>
      <c r="J496" s="76"/>
      <c r="K496" s="12"/>
    </row>
    <row r="497" spans="1:185" x14ac:dyDescent="0.3">
      <c r="A497" s="57"/>
      <c r="B497" s="48"/>
      <c r="C497" s="48"/>
      <c r="D497" s="48"/>
      <c r="E497" s="50" t="s">
        <v>5</v>
      </c>
      <c r="F497" s="51" t="str">
        <f>$C$1</f>
        <v>R. Abbott</v>
      </c>
      <c r="G497" s="48"/>
      <c r="H497" s="58"/>
      <c r="I497" s="50" t="s">
        <v>10</v>
      </c>
      <c r="J497" s="59" t="str">
        <f>$G$2</f>
        <v>AA-SM-001-000</v>
      </c>
      <c r="K497" s="60"/>
      <c r="L497" s="61"/>
      <c r="M497" s="52"/>
      <c r="N497" s="52"/>
      <c r="O497" s="52"/>
      <c r="P497" s="5"/>
      <c r="AD497" s="8"/>
    </row>
    <row r="498" spans="1:185" s="10" customFormat="1" x14ac:dyDescent="0.3">
      <c r="A498" s="48"/>
      <c r="B498" s="48"/>
      <c r="C498" s="48"/>
      <c r="D498" s="48"/>
      <c r="E498" s="50" t="s">
        <v>6</v>
      </c>
      <c r="F498" s="58" t="str">
        <f>$C$2</f>
        <v xml:space="preserve"> </v>
      </c>
      <c r="G498" s="48"/>
      <c r="H498" s="58"/>
      <c r="I498" s="50" t="s">
        <v>11</v>
      </c>
      <c r="J498" s="60" t="str">
        <f>$G$3</f>
        <v>B</v>
      </c>
      <c r="K498" s="60"/>
      <c r="L498" s="61"/>
      <c r="M498" s="52">
        <v>1</v>
      </c>
      <c r="N498" s="52"/>
      <c r="O498" s="52"/>
      <c r="P498" s="5"/>
      <c r="Q498" s="9"/>
      <c r="R498" s="7"/>
      <c r="S498" s="7"/>
      <c r="T498" s="2"/>
      <c r="U498" s="2"/>
      <c r="V498" s="2"/>
      <c r="W498" s="2"/>
      <c r="X498" s="2"/>
      <c r="Y498" s="2"/>
      <c r="Z498" s="2"/>
      <c r="AA498" s="2"/>
      <c r="AB498" s="2"/>
      <c r="AC498" s="2"/>
      <c r="AD498" s="2"/>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row>
    <row r="499" spans="1:185" x14ac:dyDescent="0.3">
      <c r="A499" s="48"/>
      <c r="B499" s="48"/>
      <c r="C499" s="48"/>
      <c r="D499" s="48"/>
      <c r="E499" s="50" t="s">
        <v>1</v>
      </c>
      <c r="F499" s="58" t="str">
        <f>$C$3</f>
        <v>20/10/2013</v>
      </c>
      <c r="G499" s="48"/>
      <c r="H499" s="58"/>
      <c r="I499" s="50" t="s">
        <v>12</v>
      </c>
      <c r="J499" s="51" t="str">
        <f>L499&amp;" of "&amp;$G$1</f>
        <v>10 of 16</v>
      </c>
      <c r="K499" s="58"/>
      <c r="L499" s="61">
        <f>SUM($M$1:M498)</f>
        <v>10</v>
      </c>
      <c r="M499" s="52"/>
      <c r="N499" s="52"/>
      <c r="O499" s="52"/>
      <c r="P499" s="5"/>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row>
    <row r="500" spans="1:185" x14ac:dyDescent="0.3">
      <c r="A500" s="48"/>
      <c r="B500" s="48"/>
      <c r="C500" s="48"/>
      <c r="D500" s="48"/>
      <c r="E500" s="50" t="s">
        <v>63</v>
      </c>
      <c r="F500" s="58" t="str">
        <f>$C$5</f>
        <v>STANDARD SPREADSHEET METHOD</v>
      </c>
      <c r="G500" s="48"/>
      <c r="H500" s="48"/>
      <c r="I500" s="62"/>
      <c r="J500" s="51"/>
      <c r="K500" s="48"/>
      <c r="L500" s="48"/>
      <c r="M500" s="52"/>
      <c r="N500" s="52"/>
      <c r="O500" s="52"/>
      <c r="P500" s="5"/>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row>
    <row r="501" spans="1:185" ht="15.6" x14ac:dyDescent="0.3">
      <c r="A501" s="12"/>
      <c r="B501" s="64" t="str">
        <f>$G$4</f>
        <v>SECTION PROPERTIES</v>
      </c>
      <c r="C501" s="12"/>
      <c r="D501" s="12"/>
      <c r="E501" s="12"/>
      <c r="F501" s="12"/>
      <c r="G501" s="12"/>
      <c r="H501" s="12"/>
      <c r="I501" s="12"/>
      <c r="J501" s="12"/>
      <c r="K501" s="1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row>
    <row r="502" spans="1:185" x14ac:dyDescent="0.3">
      <c r="A502" s="44"/>
      <c r="B502" s="11" t="s">
        <v>127</v>
      </c>
      <c r="C502" s="44"/>
      <c r="D502" s="44"/>
      <c r="E502" s="44"/>
    </row>
    <row r="503" spans="1:185" x14ac:dyDescent="0.3">
      <c r="A503" s="11"/>
      <c r="C503" s="11"/>
      <c r="D503" s="15"/>
      <c r="E503" s="11"/>
      <c r="F503" s="11"/>
      <c r="G503" s="11"/>
      <c r="H503" s="11"/>
      <c r="I503" s="11"/>
      <c r="J503" s="11"/>
      <c r="K503" s="11"/>
    </row>
    <row r="505" spans="1:185" x14ac:dyDescent="0.3">
      <c r="A505" s="30"/>
      <c r="B505" s="16" t="s">
        <v>76</v>
      </c>
      <c r="C505" s="20">
        <v>4.3</v>
      </c>
      <c r="D505" s="18" t="s">
        <v>4</v>
      </c>
      <c r="I505" s="34" t="s">
        <v>36</v>
      </c>
      <c r="U505" s="2" t="s">
        <v>77</v>
      </c>
    </row>
    <row r="506" spans="1:185" x14ac:dyDescent="0.3">
      <c r="A506" s="18"/>
      <c r="B506" s="32" t="s">
        <v>37</v>
      </c>
      <c r="C506" s="88">
        <v>5</v>
      </c>
      <c r="D506" s="4" t="s">
        <v>4</v>
      </c>
      <c r="E506" s="18"/>
      <c r="F506" s="18"/>
      <c r="G506" s="18"/>
      <c r="I506" s="16" t="s">
        <v>46</v>
      </c>
      <c r="J506" s="4" t="str">
        <f ca="1">[1]!xlv(J508)</f>
        <v>(Iₓ / A)⁰·⁵</v>
      </c>
    </row>
    <row r="507" spans="1:185" x14ac:dyDescent="0.3">
      <c r="A507" s="18"/>
      <c r="B507" s="32"/>
      <c r="C507" s="88"/>
      <c r="I507" s="16" t="s">
        <v>46</v>
      </c>
      <c r="J507" s="4" t="str">
        <f>[1]!xln(J508)</f>
        <v>(11 / 10.8)⁰·⁵</v>
      </c>
      <c r="U507" s="42"/>
    </row>
    <row r="508" spans="1:185" x14ac:dyDescent="0.3">
      <c r="A508" s="18"/>
      <c r="I508" s="16" t="s">
        <v>46</v>
      </c>
      <c r="J508" s="35">
        <f>(C525/C515)^0.5</f>
        <v>1.013519719700718</v>
      </c>
      <c r="K508" s="18" t="s">
        <v>4</v>
      </c>
    </row>
    <row r="509" spans="1:185" x14ac:dyDescent="0.3">
      <c r="A509" s="18"/>
      <c r="B509" s="32"/>
      <c r="C509" s="33"/>
    </row>
    <row r="510" spans="1:185" x14ac:dyDescent="0.3">
      <c r="A510" s="18"/>
      <c r="B510" s="18"/>
      <c r="I510" s="16" t="s">
        <v>47</v>
      </c>
      <c r="J510" s="4" t="str">
        <f ca="1">[1]!xlv(J512)</f>
        <v>(Iᵧ / A)⁰·⁵</v>
      </c>
      <c r="U510" s="42"/>
    </row>
    <row r="511" spans="1:185" x14ac:dyDescent="0.3">
      <c r="A511" s="18"/>
      <c r="I511" s="16" t="s">
        <v>47</v>
      </c>
      <c r="J511" s="4" t="str">
        <f>[1]!xln(J512)</f>
        <v>(11.2 / 10.8)⁰·⁵</v>
      </c>
    </row>
    <row r="512" spans="1:185" x14ac:dyDescent="0.3">
      <c r="A512" s="11"/>
      <c r="B512" s="31" t="s">
        <v>28</v>
      </c>
      <c r="I512" s="16" t="s">
        <v>47</v>
      </c>
      <c r="J512" s="22">
        <f>(F525/C515)^0.5</f>
        <v>1.0206207261596574</v>
      </c>
      <c r="K512" s="18" t="s">
        <v>4</v>
      </c>
    </row>
    <row r="513" spans="2:21" x14ac:dyDescent="0.3">
      <c r="B513" s="16" t="s">
        <v>31</v>
      </c>
      <c r="C513" s="4" t="str">
        <f ca="1">[1]!xlv(C515)</f>
        <v>d × b / 2</v>
      </c>
    </row>
    <row r="514" spans="2:21" x14ac:dyDescent="0.3">
      <c r="B514" s="16" t="s">
        <v>31</v>
      </c>
      <c r="C514" s="4" t="str">
        <f>[1]!xln(C515)</f>
        <v>4.3 × 5 / 2</v>
      </c>
      <c r="D514" s="11"/>
    </row>
    <row r="515" spans="2:21" x14ac:dyDescent="0.3">
      <c r="B515" s="16" t="s">
        <v>31</v>
      </c>
      <c r="C515" s="17">
        <f>C505*C506/2</f>
        <v>10.75</v>
      </c>
      <c r="D515" s="18" t="s">
        <v>41</v>
      </c>
    </row>
    <row r="517" spans="2:21" x14ac:dyDescent="0.3">
      <c r="B517" s="31" t="s">
        <v>74</v>
      </c>
      <c r="U517" s="42"/>
    </row>
    <row r="518" spans="2:21" x14ac:dyDescent="0.3">
      <c r="B518" s="32" t="s">
        <v>24</v>
      </c>
      <c r="C518" s="4" t="str">
        <f ca="1">[1]!xlv(C520)</f>
        <v>0.5 × b</v>
      </c>
      <c r="E518" s="32" t="s">
        <v>26</v>
      </c>
      <c r="F518" s="4" t="str">
        <f ca="1">[1]!xlv(F520)</f>
        <v>2 / 3 × d</v>
      </c>
    </row>
    <row r="519" spans="2:21" x14ac:dyDescent="0.3">
      <c r="B519" s="32" t="s">
        <v>24</v>
      </c>
      <c r="C519" s="4" t="str">
        <f>[1]!xln(C520)</f>
        <v>0.5 × 5</v>
      </c>
      <c r="E519" s="32" t="s">
        <v>26</v>
      </c>
      <c r="F519" s="4" t="str">
        <f>[1]!xln(F520)</f>
        <v>2 / 3 × 4.3</v>
      </c>
    </row>
    <row r="520" spans="2:21" x14ac:dyDescent="0.3">
      <c r="B520" s="32" t="s">
        <v>24</v>
      </c>
      <c r="C520" s="22">
        <f>0.5*C506</f>
        <v>2.5</v>
      </c>
      <c r="D520" s="4" t="s">
        <v>4</v>
      </c>
      <c r="E520" s="32" t="s">
        <v>26</v>
      </c>
      <c r="F520" s="22">
        <f>2/3*C505</f>
        <v>2.8666666666666663</v>
      </c>
      <c r="G520" s="4" t="s">
        <v>4</v>
      </c>
    </row>
    <row r="521" spans="2:21" x14ac:dyDescent="0.3">
      <c r="H521" s="32"/>
      <c r="I521" s="22"/>
    </row>
    <row r="522" spans="2:21" x14ac:dyDescent="0.3">
      <c r="B522" s="31" t="s">
        <v>110</v>
      </c>
    </row>
    <row r="523" spans="2:21" ht="15" x14ac:dyDescent="0.3">
      <c r="B523" s="16" t="s">
        <v>44</v>
      </c>
      <c r="C523" s="4" t="str">
        <f ca="1">[1]!xlv(C525)</f>
        <v>(1 / 36) × b × d³</v>
      </c>
      <c r="E523" s="32" t="s">
        <v>94</v>
      </c>
      <c r="F523" s="4" t="str">
        <f ca="1">[1]!xlv(F525)</f>
        <v>(1 / 48) × d × b³</v>
      </c>
      <c r="H523" s="16" t="s">
        <v>50</v>
      </c>
      <c r="I523" s="4" t="str">
        <f ca="1">[1]!xlv(I525)</f>
        <v>Iₓ + Iᵧ</v>
      </c>
    </row>
    <row r="524" spans="2:21" ht="15" x14ac:dyDescent="0.3">
      <c r="B524" s="16" t="s">
        <v>44</v>
      </c>
      <c r="C524" s="4" t="str">
        <f>[1]!xln(C525)</f>
        <v>(1 / 36) × 5 × 4.3³</v>
      </c>
      <c r="E524" s="32" t="s">
        <v>94</v>
      </c>
      <c r="F524" s="4" t="str">
        <f>[1]!xln(F525)</f>
        <v>(1 / 48) × 4.3 × 5³</v>
      </c>
      <c r="H524" s="16" t="s">
        <v>50</v>
      </c>
      <c r="I524" s="4" t="str">
        <f>[1]!xln(I525)</f>
        <v>11 + 11.2</v>
      </c>
    </row>
    <row r="525" spans="2:21" ht="15" x14ac:dyDescent="0.3">
      <c r="B525" s="16" t="s">
        <v>44</v>
      </c>
      <c r="C525" s="35">
        <f>(1/36)*C506*C505^3</f>
        <v>11.042638888888888</v>
      </c>
      <c r="D525" s="90" t="s">
        <v>42</v>
      </c>
      <c r="E525" s="91" t="s">
        <v>94</v>
      </c>
      <c r="F525" s="35">
        <f>(1/48)*C505*C506^3</f>
        <v>11.197916666666664</v>
      </c>
      <c r="G525" s="90" t="s">
        <v>42</v>
      </c>
      <c r="H525" s="16" t="s">
        <v>50</v>
      </c>
      <c r="I525" s="35">
        <f>C525+F525</f>
        <v>22.240555555555552</v>
      </c>
      <c r="J525" s="18" t="s">
        <v>42</v>
      </c>
    </row>
    <row r="527" spans="2:21" x14ac:dyDescent="0.3">
      <c r="B527" s="31" t="s">
        <v>111</v>
      </c>
    </row>
    <row r="528" spans="2:21" x14ac:dyDescent="0.3">
      <c r="B528" s="16" t="s">
        <v>72</v>
      </c>
      <c r="C528" s="87" t="str">
        <f ca="1">[1]!xlv(C530)</f>
        <v>0.098 × b × d²</v>
      </c>
      <c r="D528" s="87"/>
      <c r="E528" s="87"/>
      <c r="F528" s="87"/>
      <c r="G528" s="32" t="s">
        <v>73</v>
      </c>
      <c r="H528" s="4" t="str">
        <f ca="1">[1]!xlv(H530)</f>
        <v>0.0833 × d × b²</v>
      </c>
    </row>
    <row r="529" spans="1:10" x14ac:dyDescent="0.3">
      <c r="A529" s="11"/>
      <c r="B529" s="16" t="s">
        <v>72</v>
      </c>
      <c r="C529" s="87" t="str">
        <f>[1]!xln(C530)</f>
        <v>0.098 × 5 × 4.3²</v>
      </c>
      <c r="D529" s="87"/>
      <c r="E529" s="87"/>
      <c r="F529" s="87"/>
      <c r="G529" s="32" t="s">
        <v>73</v>
      </c>
      <c r="H529" s="4" t="str">
        <f>[1]!xln(H530)</f>
        <v>0.0833 × 4.3 × 5²</v>
      </c>
    </row>
    <row r="530" spans="1:10" x14ac:dyDescent="0.3">
      <c r="A530" s="11"/>
      <c r="B530" s="16" t="s">
        <v>72</v>
      </c>
      <c r="C530" s="87">
        <f>0.098*C506*C505^2</f>
        <v>9.0600999999999985</v>
      </c>
      <c r="D530" s="87" t="s">
        <v>33</v>
      </c>
      <c r="E530" s="87"/>
      <c r="F530" s="87"/>
      <c r="G530" s="32" t="s">
        <v>73</v>
      </c>
      <c r="H530" s="22">
        <f>0.0833*C505*C506^2</f>
        <v>8.9547500000000007</v>
      </c>
      <c r="I530" s="4" t="s">
        <v>33</v>
      </c>
    </row>
    <row r="531" spans="1:10" x14ac:dyDescent="0.3">
      <c r="E531" s="87"/>
      <c r="F531" s="87"/>
      <c r="G531" s="16"/>
      <c r="H531" s="87"/>
      <c r="I531" s="87"/>
      <c r="J531" s="87"/>
    </row>
    <row r="532" spans="1:10" x14ac:dyDescent="0.3">
      <c r="B532" s="31" t="s">
        <v>115</v>
      </c>
    </row>
    <row r="533" spans="1:10" x14ac:dyDescent="0.3">
      <c r="B533" s="16" t="s">
        <v>80</v>
      </c>
      <c r="C533" s="87">
        <v>2.343</v>
      </c>
      <c r="D533" s="87"/>
      <c r="G533" s="89" t="s">
        <v>82</v>
      </c>
      <c r="H533" s="87">
        <v>2</v>
      </c>
      <c r="I533" s="38"/>
    </row>
    <row r="538" spans="1:10" x14ac:dyDescent="0.3">
      <c r="B538" s="16"/>
      <c r="C538" s="87"/>
      <c r="D538" s="87"/>
      <c r="G538" s="89"/>
      <c r="H538" s="87"/>
      <c r="I538" s="38"/>
    </row>
    <row r="540" spans="1:10" x14ac:dyDescent="0.3">
      <c r="B540" s="16"/>
      <c r="C540" s="87"/>
      <c r="D540" s="87"/>
      <c r="E540" s="87"/>
      <c r="F540" s="87"/>
      <c r="G540" s="16"/>
      <c r="H540" s="22"/>
    </row>
    <row r="542" spans="1:10" x14ac:dyDescent="0.3">
      <c r="B542" s="32"/>
    </row>
    <row r="543" spans="1:10" x14ac:dyDescent="0.3">
      <c r="B543" s="16"/>
      <c r="C543" s="87"/>
      <c r="D543" s="87"/>
    </row>
    <row r="544" spans="1:10" x14ac:dyDescent="0.3">
      <c r="B544" s="16"/>
      <c r="C544" s="87"/>
      <c r="G544" s="89"/>
      <c r="H544" s="87"/>
      <c r="I544" s="38"/>
    </row>
    <row r="545" spans="1:185" x14ac:dyDescent="0.3">
      <c r="E545" s="87"/>
      <c r="F545" s="87"/>
    </row>
    <row r="546" spans="1:185" x14ac:dyDescent="0.3">
      <c r="E546" s="87"/>
      <c r="F546" s="87"/>
    </row>
    <row r="547" spans="1:185" x14ac:dyDescent="0.3">
      <c r="A547" s="12"/>
      <c r="B547" s="3"/>
      <c r="C547" s="74"/>
      <c r="D547" s="12"/>
      <c r="E547" s="12"/>
      <c r="F547" s="12"/>
      <c r="G547" s="74"/>
      <c r="H547" s="12"/>
      <c r="I547" s="12"/>
      <c r="J547" s="12"/>
      <c r="K547" s="12"/>
    </row>
    <row r="548" spans="1:185" x14ac:dyDescent="0.3">
      <c r="A548" s="12"/>
      <c r="B548" s="75"/>
      <c r="C548" s="74"/>
      <c r="D548" s="76"/>
      <c r="E548" s="76"/>
      <c r="F548" s="77" t="s">
        <v>105</v>
      </c>
      <c r="G548" s="74"/>
      <c r="H548" s="76"/>
      <c r="I548" s="76"/>
      <c r="J548" s="76"/>
      <c r="K548" s="12"/>
    </row>
    <row r="549" spans="1:185" x14ac:dyDescent="0.3">
      <c r="A549" s="12"/>
      <c r="B549" s="76"/>
      <c r="C549" s="76"/>
      <c r="D549" s="76"/>
      <c r="E549" s="76"/>
      <c r="F549" s="104" t="s">
        <v>106</v>
      </c>
      <c r="G549" s="76"/>
      <c r="H549" s="76"/>
      <c r="I549" s="76"/>
      <c r="J549" s="76"/>
      <c r="K549" s="12"/>
    </row>
    <row r="550" spans="1:185" x14ac:dyDescent="0.3">
      <c r="A550" s="57"/>
      <c r="B550" s="48"/>
      <c r="C550" s="48"/>
      <c r="D550" s="48"/>
      <c r="E550" s="50" t="s">
        <v>5</v>
      </c>
      <c r="F550" s="51" t="str">
        <f>$C$1</f>
        <v>R. Abbott</v>
      </c>
      <c r="G550" s="48"/>
      <c r="H550" s="58"/>
      <c r="I550" s="50" t="s">
        <v>10</v>
      </c>
      <c r="J550" s="59" t="str">
        <f>$G$2</f>
        <v>AA-SM-001-000</v>
      </c>
      <c r="K550" s="60"/>
      <c r="L550" s="61"/>
      <c r="M550" s="52"/>
      <c r="N550" s="52"/>
      <c r="O550" s="52"/>
      <c r="P550" s="5"/>
      <c r="AD550" s="8"/>
    </row>
    <row r="551" spans="1:185" s="10" customFormat="1" x14ac:dyDescent="0.3">
      <c r="A551" s="48"/>
      <c r="B551" s="48"/>
      <c r="C551" s="48"/>
      <c r="D551" s="48"/>
      <c r="E551" s="50" t="s">
        <v>6</v>
      </c>
      <c r="F551" s="58" t="str">
        <f>$C$2</f>
        <v xml:space="preserve"> </v>
      </c>
      <c r="G551" s="48"/>
      <c r="H551" s="58"/>
      <c r="I551" s="50" t="s">
        <v>11</v>
      </c>
      <c r="J551" s="60" t="str">
        <f>$G$3</f>
        <v>B</v>
      </c>
      <c r="K551" s="60"/>
      <c r="L551" s="61"/>
      <c r="M551" s="52">
        <v>1</v>
      </c>
      <c r="N551" s="52"/>
      <c r="O551" s="52"/>
      <c r="P551" s="5"/>
      <c r="Q551" s="9"/>
      <c r="R551" s="7"/>
      <c r="S551" s="7"/>
      <c r="T551" s="2"/>
      <c r="U551" s="2"/>
      <c r="V551" s="2"/>
      <c r="W551" s="2"/>
      <c r="X551" s="2"/>
      <c r="Y551" s="2"/>
      <c r="Z551" s="2"/>
      <c r="AA551" s="2"/>
      <c r="AB551" s="2"/>
      <c r="AC551" s="2"/>
      <c r="AD551" s="2"/>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row>
    <row r="552" spans="1:185" x14ac:dyDescent="0.3">
      <c r="A552" s="48"/>
      <c r="B552" s="48"/>
      <c r="C552" s="48"/>
      <c r="D552" s="48"/>
      <c r="E552" s="50" t="s">
        <v>1</v>
      </c>
      <c r="F552" s="58" t="str">
        <f>$C$3</f>
        <v>20/10/2013</v>
      </c>
      <c r="G552" s="48"/>
      <c r="H552" s="58"/>
      <c r="I552" s="50" t="s">
        <v>12</v>
      </c>
      <c r="J552" s="51" t="str">
        <f>L552&amp;" of "&amp;$G$1</f>
        <v>11 of 16</v>
      </c>
      <c r="K552" s="58"/>
      <c r="L552" s="61">
        <f>SUM($M$1:M551)</f>
        <v>11</v>
      </c>
      <c r="M552" s="52"/>
      <c r="N552" s="52"/>
      <c r="O552" s="52"/>
      <c r="P552" s="5"/>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row>
    <row r="553" spans="1:185" x14ac:dyDescent="0.3">
      <c r="A553" s="48"/>
      <c r="B553" s="48"/>
      <c r="C553" s="48"/>
      <c r="D553" s="48"/>
      <c r="E553" s="50" t="s">
        <v>63</v>
      </c>
      <c r="F553" s="58" t="str">
        <f>$C$5</f>
        <v>STANDARD SPREADSHEET METHOD</v>
      </c>
      <c r="G553" s="48"/>
      <c r="H553" s="48"/>
      <c r="I553" s="62"/>
      <c r="J553" s="51"/>
      <c r="K553" s="48"/>
      <c r="L553" s="48"/>
      <c r="M553" s="52"/>
      <c r="N553" s="52"/>
      <c r="O553" s="52"/>
      <c r="P553" s="5"/>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row>
    <row r="554" spans="1:185" ht="15.6" x14ac:dyDescent="0.3">
      <c r="A554" s="12"/>
      <c r="B554" s="64" t="str">
        <f>$G$4</f>
        <v>SECTION PROPERTIES</v>
      </c>
      <c r="C554" s="12"/>
      <c r="D554" s="12"/>
      <c r="E554" s="12"/>
      <c r="F554" s="12"/>
      <c r="G554" s="12"/>
      <c r="H554" s="12"/>
      <c r="I554" s="12"/>
      <c r="J554" s="12"/>
      <c r="K554" s="1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row>
    <row r="555" spans="1:185" x14ac:dyDescent="0.3">
      <c r="A555" s="44"/>
      <c r="B555" s="11" t="s">
        <v>126</v>
      </c>
      <c r="C555" s="44"/>
      <c r="D555" s="44"/>
      <c r="E555" s="44"/>
    </row>
    <row r="556" spans="1:185" x14ac:dyDescent="0.3">
      <c r="A556" s="11"/>
      <c r="C556" s="11"/>
      <c r="D556" s="15"/>
      <c r="E556" s="11"/>
      <c r="F556" s="11"/>
      <c r="G556" s="11"/>
      <c r="H556" s="11"/>
      <c r="I556" s="11"/>
      <c r="J556" s="11"/>
      <c r="K556" s="11"/>
    </row>
    <row r="558" spans="1:185" x14ac:dyDescent="0.3">
      <c r="A558" s="30"/>
      <c r="B558" s="16" t="s">
        <v>48</v>
      </c>
      <c r="C558" s="20">
        <v>5</v>
      </c>
      <c r="D558" s="18" t="s">
        <v>4</v>
      </c>
      <c r="I558" s="34" t="s">
        <v>36</v>
      </c>
      <c r="U558" s="2" t="s">
        <v>77</v>
      </c>
    </row>
    <row r="559" spans="1:185" x14ac:dyDescent="0.3">
      <c r="A559" s="18"/>
      <c r="B559" s="32"/>
      <c r="C559" s="88"/>
      <c r="E559" s="18"/>
      <c r="F559" s="18"/>
      <c r="G559" s="18"/>
      <c r="I559" s="16" t="s">
        <v>46</v>
      </c>
      <c r="J559" s="4" t="str">
        <f ca="1">[1]!xlv(J561)</f>
        <v>(Iₓ / A)⁰·⁵</v>
      </c>
    </row>
    <row r="560" spans="1:185" x14ac:dyDescent="0.3">
      <c r="A560" s="18"/>
      <c r="B560" s="32"/>
      <c r="C560" s="88"/>
      <c r="I560" s="16" t="s">
        <v>46</v>
      </c>
      <c r="J560" s="4" t="str">
        <f>[1]!xln(J561)</f>
        <v>(11.3 / 10.8)⁰·⁵</v>
      </c>
      <c r="U560" s="42"/>
    </row>
    <row r="561" spans="1:21" x14ac:dyDescent="0.3">
      <c r="A561" s="18"/>
      <c r="I561" s="16" t="s">
        <v>46</v>
      </c>
      <c r="J561" s="35">
        <f>(C578/C568)^0.5</f>
        <v>1.0205735832359548</v>
      </c>
      <c r="K561" s="18" t="s">
        <v>4</v>
      </c>
    </row>
    <row r="562" spans="1:21" x14ac:dyDescent="0.3">
      <c r="A562" s="18"/>
      <c r="B562" s="32"/>
      <c r="C562" s="33"/>
      <c r="J562" s="22"/>
    </row>
    <row r="563" spans="1:21" x14ac:dyDescent="0.3">
      <c r="A563" s="18"/>
      <c r="B563" s="18"/>
      <c r="I563" s="16" t="s">
        <v>47</v>
      </c>
      <c r="J563" s="22" t="str">
        <f ca="1">[1]!xlv(J565)</f>
        <v>(Iᵧ / A)⁰·⁵</v>
      </c>
      <c r="U563" s="42"/>
    </row>
    <row r="564" spans="1:21" x14ac:dyDescent="0.3">
      <c r="A564" s="18"/>
      <c r="I564" s="16" t="s">
        <v>47</v>
      </c>
      <c r="J564" s="22" t="str">
        <f>[1]!xln(J565)</f>
        <v>(11.3 / 10.8)⁰·⁵</v>
      </c>
    </row>
    <row r="565" spans="1:21" x14ac:dyDescent="0.3">
      <c r="A565" s="11"/>
      <c r="B565" s="31" t="s">
        <v>28</v>
      </c>
      <c r="I565" s="16" t="s">
        <v>47</v>
      </c>
      <c r="J565" s="22">
        <f>(F578/C568)^0.5</f>
        <v>1.0205735832359548</v>
      </c>
      <c r="K565" s="18" t="s">
        <v>4</v>
      </c>
    </row>
    <row r="566" spans="1:21" x14ac:dyDescent="0.3">
      <c r="B566" s="16" t="s">
        <v>31</v>
      </c>
      <c r="C566" s="4" t="str">
        <f ca="1">[1]!xlv(C568)</f>
        <v>0.433 × a²</v>
      </c>
    </row>
    <row r="567" spans="1:21" x14ac:dyDescent="0.3">
      <c r="B567" s="16" t="s">
        <v>31</v>
      </c>
      <c r="C567" s="4" t="str">
        <f>[1]!xln(C568)</f>
        <v>0.433 × 5²</v>
      </c>
      <c r="D567" s="11"/>
    </row>
    <row r="568" spans="1:21" x14ac:dyDescent="0.3">
      <c r="B568" s="16" t="s">
        <v>31</v>
      </c>
      <c r="C568" s="17">
        <f>0.433*C558^2</f>
        <v>10.824999999999999</v>
      </c>
      <c r="D568" s="18" t="s">
        <v>41</v>
      </c>
    </row>
    <row r="570" spans="1:21" x14ac:dyDescent="0.3">
      <c r="B570" s="31" t="s">
        <v>74</v>
      </c>
      <c r="U570" s="42"/>
    </row>
    <row r="571" spans="1:21" x14ac:dyDescent="0.3">
      <c r="B571" s="32" t="s">
        <v>24</v>
      </c>
      <c r="C571" s="4" t="str">
        <f ca="1">[1]!xlv(C573)</f>
        <v>0.5 × a</v>
      </c>
      <c r="E571" s="32" t="s">
        <v>26</v>
      </c>
      <c r="F571" s="4" t="str">
        <f ca="1">[1]!xlv(F573)</f>
        <v>0.577 × a</v>
      </c>
    </row>
    <row r="572" spans="1:21" x14ac:dyDescent="0.3">
      <c r="B572" s="32" t="s">
        <v>24</v>
      </c>
      <c r="C572" s="4" t="str">
        <f>[1]!xln(C573)</f>
        <v>0.5 × 5</v>
      </c>
      <c r="E572" s="32" t="s">
        <v>26</v>
      </c>
      <c r="F572" s="4" t="str">
        <f>[1]!xln(F573)</f>
        <v>0.577 × 5</v>
      </c>
    </row>
    <row r="573" spans="1:21" x14ac:dyDescent="0.3">
      <c r="B573" s="32" t="s">
        <v>24</v>
      </c>
      <c r="C573" s="22">
        <f>0.5*C558</f>
        <v>2.5</v>
      </c>
      <c r="D573" s="4" t="s">
        <v>4</v>
      </c>
      <c r="E573" s="32" t="s">
        <v>26</v>
      </c>
      <c r="F573" s="22">
        <f>0.5774*C558</f>
        <v>2.887</v>
      </c>
      <c r="G573" s="4" t="s">
        <v>4</v>
      </c>
    </row>
    <row r="574" spans="1:21" x14ac:dyDescent="0.3">
      <c r="H574" s="32"/>
      <c r="I574" s="22"/>
    </row>
    <row r="575" spans="1:21" x14ac:dyDescent="0.3">
      <c r="B575" s="31" t="s">
        <v>110</v>
      </c>
    </row>
    <row r="576" spans="1:21" ht="15" x14ac:dyDescent="0.3">
      <c r="B576" s="16" t="s">
        <v>44</v>
      </c>
      <c r="C576" s="4" t="str">
        <f ca="1">[1]!xlv(C578)</f>
        <v>0.018 × a⁴</v>
      </c>
      <c r="E576" s="32" t="s">
        <v>94</v>
      </c>
      <c r="F576" s="4" t="str">
        <f ca="1">[1]!xlv(F578)</f>
        <v>0.018 × a⁴</v>
      </c>
      <c r="H576" s="16" t="s">
        <v>50</v>
      </c>
      <c r="I576" s="4" t="str">
        <f ca="1">[1]!xlv(I578)</f>
        <v>Iₓ + Iᵧ</v>
      </c>
    </row>
    <row r="577" spans="1:10" ht="15" x14ac:dyDescent="0.3">
      <c r="B577" s="16" t="s">
        <v>44</v>
      </c>
      <c r="C577" s="4" t="str">
        <f>[1]!xln(C578)</f>
        <v>0.018 × 5⁴</v>
      </c>
      <c r="E577" s="32" t="s">
        <v>94</v>
      </c>
      <c r="F577" s="4" t="str">
        <f>[1]!xln(F578)</f>
        <v>0.018 × 5⁴</v>
      </c>
      <c r="H577" s="16" t="s">
        <v>50</v>
      </c>
      <c r="I577" s="4" t="str">
        <f>[1]!xln(I578)</f>
        <v>11.3 + 11.3</v>
      </c>
    </row>
    <row r="578" spans="1:10" ht="15" x14ac:dyDescent="0.3">
      <c r="B578" s="16" t="s">
        <v>44</v>
      </c>
      <c r="C578" s="35">
        <f>0.01804*C558^4</f>
        <v>11.275</v>
      </c>
      <c r="D578" s="90" t="s">
        <v>42</v>
      </c>
      <c r="E578" s="91" t="s">
        <v>94</v>
      </c>
      <c r="F578" s="35">
        <f>0.01804*C558^4</f>
        <v>11.275</v>
      </c>
      <c r="G578" s="90" t="s">
        <v>42</v>
      </c>
      <c r="H578" s="16" t="s">
        <v>50</v>
      </c>
      <c r="I578" s="35">
        <f>C578+F578</f>
        <v>22.55</v>
      </c>
      <c r="J578" s="18" t="s">
        <v>42</v>
      </c>
    </row>
    <row r="580" spans="1:10" x14ac:dyDescent="0.3">
      <c r="B580" s="31" t="s">
        <v>111</v>
      </c>
    </row>
    <row r="581" spans="1:10" x14ac:dyDescent="0.3">
      <c r="B581" s="16" t="s">
        <v>72</v>
      </c>
      <c r="C581" s="87" t="str">
        <f ca="1">[1]!xlv(C583)</f>
        <v>0.0732 × a³</v>
      </c>
      <c r="D581" s="87"/>
      <c r="E581" s="87"/>
      <c r="F581" s="32" t="s">
        <v>73</v>
      </c>
      <c r="G581" s="4" t="str">
        <f ca="1">[1]!xlv(G583)</f>
        <v>0.0722 × a³</v>
      </c>
    </row>
    <row r="582" spans="1:10" x14ac:dyDescent="0.3">
      <c r="A582" s="11"/>
      <c r="B582" s="16" t="s">
        <v>72</v>
      </c>
      <c r="C582" s="87" t="str">
        <f>[1]!xln(C583)</f>
        <v>0.0732 × 5³</v>
      </c>
      <c r="D582" s="87"/>
      <c r="E582" s="87"/>
      <c r="F582" s="32" t="s">
        <v>73</v>
      </c>
      <c r="G582" s="4" t="str">
        <f>[1]!xln(G583)</f>
        <v>0.0722 × 5³</v>
      </c>
    </row>
    <row r="583" spans="1:10" x14ac:dyDescent="0.3">
      <c r="A583" s="11"/>
      <c r="B583" s="16" t="s">
        <v>72</v>
      </c>
      <c r="C583" s="87">
        <f>0.0732*C558^3</f>
        <v>9.15</v>
      </c>
      <c r="D583" s="87" t="s">
        <v>33</v>
      </c>
      <c r="E583" s="87"/>
      <c r="F583" s="32" t="s">
        <v>73</v>
      </c>
      <c r="G583" s="22">
        <f>0.0722*C558^3</f>
        <v>9.0250000000000004</v>
      </c>
      <c r="H583" s="4" t="s">
        <v>33</v>
      </c>
    </row>
    <row r="584" spans="1:10" x14ac:dyDescent="0.3">
      <c r="E584" s="87"/>
      <c r="F584" s="16"/>
      <c r="G584" s="87"/>
      <c r="H584" s="87"/>
      <c r="J584" s="87"/>
    </row>
    <row r="585" spans="1:10" x14ac:dyDescent="0.3">
      <c r="B585" s="31" t="s">
        <v>115</v>
      </c>
    </row>
    <row r="586" spans="1:10" x14ac:dyDescent="0.3">
      <c r="B586" s="16" t="s">
        <v>80</v>
      </c>
      <c r="C586" s="87">
        <v>2.343</v>
      </c>
      <c r="D586" s="87"/>
      <c r="F586" s="89" t="s">
        <v>82</v>
      </c>
      <c r="G586" s="87">
        <v>2</v>
      </c>
      <c r="H586" s="38"/>
    </row>
    <row r="591" spans="1:10" x14ac:dyDescent="0.3">
      <c r="B591" s="16"/>
      <c r="C591" s="87"/>
      <c r="D591" s="87"/>
      <c r="G591" s="89"/>
      <c r="H591" s="87"/>
      <c r="I591" s="38"/>
    </row>
    <row r="593" spans="1:185" x14ac:dyDescent="0.3">
      <c r="B593" s="16"/>
      <c r="C593" s="87"/>
      <c r="D593" s="87"/>
      <c r="E593" s="87"/>
      <c r="F593" s="87"/>
      <c r="G593" s="16"/>
      <c r="H593" s="22"/>
    </row>
    <row r="595" spans="1:185" x14ac:dyDescent="0.3">
      <c r="B595" s="32"/>
    </row>
    <row r="596" spans="1:185" x14ac:dyDescent="0.3">
      <c r="B596" s="16"/>
      <c r="C596" s="87"/>
      <c r="D596" s="87"/>
    </row>
    <row r="597" spans="1:185" x14ac:dyDescent="0.3">
      <c r="B597" s="16"/>
      <c r="C597" s="87"/>
      <c r="G597" s="89"/>
      <c r="H597" s="87"/>
      <c r="I597" s="38"/>
    </row>
    <row r="598" spans="1:185" x14ac:dyDescent="0.3">
      <c r="E598" s="87"/>
      <c r="F598" s="87"/>
    </row>
    <row r="599" spans="1:185" x14ac:dyDescent="0.3">
      <c r="E599" s="87"/>
      <c r="F599" s="87"/>
    </row>
    <row r="600" spans="1:185" x14ac:dyDescent="0.3">
      <c r="A600" s="12"/>
      <c r="B600" s="3"/>
      <c r="C600" s="74"/>
      <c r="D600" s="12"/>
      <c r="E600" s="12"/>
      <c r="F600" s="12"/>
      <c r="G600" s="74"/>
      <c r="H600" s="12"/>
      <c r="I600" s="12"/>
      <c r="J600" s="12"/>
      <c r="K600" s="12"/>
    </row>
    <row r="601" spans="1:185" x14ac:dyDescent="0.3">
      <c r="A601" s="12"/>
      <c r="B601" s="75"/>
      <c r="C601" s="74"/>
      <c r="D601" s="76"/>
      <c r="E601" s="76"/>
      <c r="F601" s="77" t="s">
        <v>105</v>
      </c>
      <c r="G601" s="74"/>
      <c r="H601" s="76"/>
      <c r="I601" s="76"/>
      <c r="J601" s="76"/>
      <c r="K601" s="12"/>
    </row>
    <row r="602" spans="1:185" x14ac:dyDescent="0.3">
      <c r="A602" s="12"/>
      <c r="B602" s="76"/>
      <c r="C602" s="76"/>
      <c r="D602" s="76"/>
      <c r="E602" s="76"/>
      <c r="F602" s="104" t="s">
        <v>106</v>
      </c>
      <c r="G602" s="76"/>
      <c r="H602" s="76"/>
      <c r="I602" s="76"/>
      <c r="J602" s="76"/>
      <c r="K602" s="12"/>
    </row>
    <row r="603" spans="1:185" x14ac:dyDescent="0.3">
      <c r="A603" s="57"/>
      <c r="B603" s="48"/>
      <c r="C603" s="48"/>
      <c r="D603" s="48"/>
      <c r="E603" s="50" t="s">
        <v>5</v>
      </c>
      <c r="F603" s="51" t="str">
        <f>$C$1</f>
        <v>R. Abbott</v>
      </c>
      <c r="G603" s="48"/>
      <c r="H603" s="58"/>
      <c r="I603" s="50" t="s">
        <v>10</v>
      </c>
      <c r="J603" s="59" t="str">
        <f>$G$2</f>
        <v>AA-SM-001-000</v>
      </c>
      <c r="K603" s="60"/>
      <c r="L603" s="61"/>
      <c r="M603" s="52"/>
      <c r="N603" s="52"/>
      <c r="O603" s="52"/>
      <c r="P603" s="5"/>
      <c r="AD603" s="8"/>
    </row>
    <row r="604" spans="1:185" s="10" customFormat="1" x14ac:dyDescent="0.3">
      <c r="A604" s="48"/>
      <c r="B604" s="48"/>
      <c r="C604" s="48"/>
      <c r="D604" s="48"/>
      <c r="E604" s="50" t="s">
        <v>6</v>
      </c>
      <c r="F604" s="58" t="str">
        <f>$C$2</f>
        <v xml:space="preserve"> </v>
      </c>
      <c r="G604" s="48"/>
      <c r="H604" s="58"/>
      <c r="I604" s="50" t="s">
        <v>11</v>
      </c>
      <c r="J604" s="60" t="str">
        <f>$G$3</f>
        <v>B</v>
      </c>
      <c r="K604" s="60"/>
      <c r="L604" s="61"/>
      <c r="M604" s="52">
        <v>1</v>
      </c>
      <c r="N604" s="52"/>
      <c r="O604" s="52"/>
      <c r="P604" s="5"/>
      <c r="Q604" s="9"/>
      <c r="R604" s="7"/>
      <c r="S604" s="7"/>
      <c r="T604" s="2"/>
      <c r="U604" s="2"/>
      <c r="V604" s="2"/>
      <c r="W604" s="2"/>
      <c r="X604" s="2"/>
      <c r="Y604" s="2"/>
      <c r="Z604" s="2"/>
      <c r="AA604" s="2"/>
      <c r="AB604" s="2"/>
      <c r="AC604" s="2"/>
      <c r="AD604" s="2"/>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row>
    <row r="605" spans="1:185" x14ac:dyDescent="0.3">
      <c r="A605" s="48"/>
      <c r="B605" s="48"/>
      <c r="C605" s="48"/>
      <c r="D605" s="48"/>
      <c r="E605" s="50" t="s">
        <v>1</v>
      </c>
      <c r="F605" s="58" t="str">
        <f>$C$3</f>
        <v>20/10/2013</v>
      </c>
      <c r="G605" s="48"/>
      <c r="H605" s="58"/>
      <c r="I605" s="50" t="s">
        <v>12</v>
      </c>
      <c r="J605" s="51" t="str">
        <f>L605&amp;" of "&amp;$G$1</f>
        <v>12 of 16</v>
      </c>
      <c r="K605" s="58"/>
      <c r="L605" s="61">
        <f>SUM($M$1:M604)</f>
        <v>12</v>
      </c>
      <c r="M605" s="52"/>
      <c r="N605" s="52"/>
      <c r="O605" s="52"/>
      <c r="P605" s="5"/>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row>
    <row r="606" spans="1:185" x14ac:dyDescent="0.3">
      <c r="A606" s="48"/>
      <c r="B606" s="48"/>
      <c r="C606" s="48"/>
      <c r="D606" s="48"/>
      <c r="E606" s="50" t="s">
        <v>63</v>
      </c>
      <c r="F606" s="58" t="str">
        <f>$C$5</f>
        <v>STANDARD SPREADSHEET METHOD</v>
      </c>
      <c r="G606" s="48"/>
      <c r="H606" s="48"/>
      <c r="I606" s="62"/>
      <c r="J606" s="51"/>
      <c r="K606" s="48"/>
      <c r="L606" s="48"/>
      <c r="M606" s="52"/>
      <c r="N606" s="52"/>
      <c r="O606" s="52"/>
      <c r="P606" s="5"/>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row>
    <row r="607" spans="1:185" ht="15.6" x14ac:dyDescent="0.3">
      <c r="A607" s="12"/>
      <c r="B607" s="64" t="str">
        <f>$G$4</f>
        <v>SECTION PROPERTIES</v>
      </c>
      <c r="C607" s="12"/>
      <c r="D607" s="12"/>
      <c r="E607" s="12"/>
      <c r="F607" s="12"/>
      <c r="G607" s="12"/>
      <c r="H607" s="12"/>
      <c r="I607" s="12"/>
      <c r="J607" s="12"/>
      <c r="K607" s="1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row>
    <row r="608" spans="1:185" x14ac:dyDescent="0.3">
      <c r="A608" s="44"/>
      <c r="B608" s="44" t="s">
        <v>121</v>
      </c>
      <c r="C608" s="44"/>
      <c r="D608" s="44"/>
      <c r="E608" s="44"/>
    </row>
    <row r="609" spans="1:26" x14ac:dyDescent="0.3">
      <c r="A609" s="11"/>
      <c r="B609" s="19"/>
      <c r="C609" s="11"/>
      <c r="D609" s="15"/>
      <c r="E609" s="11"/>
      <c r="F609" s="11"/>
      <c r="G609" s="11"/>
      <c r="H609" s="11"/>
      <c r="I609" s="11"/>
      <c r="J609" s="11"/>
      <c r="K609" s="11"/>
    </row>
    <row r="611" spans="1:26" x14ac:dyDescent="0.3">
      <c r="A611" s="30"/>
      <c r="B611" s="16" t="s">
        <v>37</v>
      </c>
      <c r="C611" s="20">
        <v>10</v>
      </c>
      <c r="D611" s="18" t="s">
        <v>4</v>
      </c>
      <c r="H611" s="31" t="s">
        <v>28</v>
      </c>
      <c r="U611" s="2" t="s">
        <v>77</v>
      </c>
    </row>
    <row r="612" spans="1:26" x14ac:dyDescent="0.3">
      <c r="A612" s="18"/>
      <c r="B612" s="32" t="s">
        <v>76</v>
      </c>
      <c r="C612" s="33">
        <v>10</v>
      </c>
      <c r="D612" s="4" t="s">
        <v>4</v>
      </c>
      <c r="E612" s="18"/>
      <c r="F612" s="18"/>
      <c r="G612" s="18"/>
      <c r="H612" s="16" t="s">
        <v>31</v>
      </c>
      <c r="I612" s="4" t="str">
        <f ca="1">[1]!xlv(I614)</f>
        <v>t × b + tw × d</v>
      </c>
    </row>
    <row r="613" spans="1:26" x14ac:dyDescent="0.3">
      <c r="A613" s="18"/>
      <c r="B613" s="32" t="s">
        <v>49</v>
      </c>
      <c r="C613" s="88">
        <v>0.25</v>
      </c>
      <c r="D613" s="4" t="s">
        <v>4</v>
      </c>
      <c r="H613" s="16" t="s">
        <v>31</v>
      </c>
      <c r="I613" s="4" t="str">
        <f>[1]!xln(I614)</f>
        <v>0.25 × 10 + 0.25 × 10</v>
      </c>
      <c r="J613" s="11"/>
      <c r="U613" s="42"/>
    </row>
    <row r="614" spans="1:26" x14ac:dyDescent="0.3">
      <c r="A614" s="18"/>
      <c r="B614" s="32" t="s">
        <v>81</v>
      </c>
      <c r="C614" s="88">
        <v>0.25</v>
      </c>
      <c r="D614" s="4" t="s">
        <v>4</v>
      </c>
      <c r="H614" s="16" t="s">
        <v>31</v>
      </c>
      <c r="I614" s="35">
        <f>C613*C611+C614*C612</f>
        <v>5</v>
      </c>
      <c r="J614" s="18" t="s">
        <v>41</v>
      </c>
    </row>
    <row r="615" spans="1:26" x14ac:dyDescent="0.3">
      <c r="A615" s="18"/>
      <c r="B615" s="32"/>
      <c r="C615" s="33"/>
    </row>
    <row r="616" spans="1:26" x14ac:dyDescent="0.3">
      <c r="A616" s="18"/>
      <c r="B616" s="18"/>
      <c r="U616" s="42"/>
      <c r="X616" s="4"/>
      <c r="Y616" s="4"/>
      <c r="Z616" s="4"/>
    </row>
    <row r="617" spans="1:26" x14ac:dyDescent="0.3">
      <c r="A617" s="18"/>
      <c r="B617" s="31" t="s">
        <v>74</v>
      </c>
    </row>
    <row r="618" spans="1:26" x14ac:dyDescent="0.3">
      <c r="A618" s="11"/>
      <c r="B618" s="32" t="s">
        <v>24</v>
      </c>
      <c r="C618" s="22">
        <f>C611/2</f>
        <v>5</v>
      </c>
      <c r="D618" s="4" t="s">
        <v>4</v>
      </c>
    </row>
    <row r="619" spans="1:26" x14ac:dyDescent="0.3">
      <c r="B619" s="32" t="s">
        <v>26</v>
      </c>
      <c r="C619" s="4" t="str">
        <f ca="1">[1]!xlv(C621)</f>
        <v>(b × t² + tw × d × (2 × t + d)) / (2 × (t × b + tw × d))</v>
      </c>
    </row>
    <row r="620" spans="1:26" x14ac:dyDescent="0.3">
      <c r="B620" s="32" t="s">
        <v>26</v>
      </c>
      <c r="C620" s="4" t="str">
        <f>[1]!xln(C621)</f>
        <v>(10 × 0.25² + 0.25 × 10 × (2 × 0.25 + 10)) / (2 × (0.25 × 10 + 0.25 × 10))</v>
      </c>
    </row>
    <row r="621" spans="1:26" x14ac:dyDescent="0.3">
      <c r="B621" s="32" t="s">
        <v>26</v>
      </c>
      <c r="C621" s="22">
        <f>(C611*C613^2+C614*C612*(2*C613+C612))/(2*(C613*C611+C614*C612))</f>
        <v>2.6875</v>
      </c>
      <c r="D621" s="4" t="s">
        <v>4</v>
      </c>
    </row>
    <row r="623" spans="1:26" x14ac:dyDescent="0.3">
      <c r="B623" s="31" t="s">
        <v>110</v>
      </c>
      <c r="I623" s="87"/>
      <c r="U623" s="42"/>
    </row>
    <row r="624" spans="1:26" x14ac:dyDescent="0.3">
      <c r="B624" s="16" t="s">
        <v>44</v>
      </c>
      <c r="C624" s="4" t="str">
        <f ca="1">[1]!xlv(C626)</f>
        <v>b / 3 × (d + t)³ - d³ / 3 × (b - tw) - A × (d + t - ẏ)²</v>
      </c>
      <c r="I624" s="87"/>
    </row>
    <row r="625" spans="1:24" x14ac:dyDescent="0.3">
      <c r="B625" s="16" t="s">
        <v>44</v>
      </c>
      <c r="C625" s="4" t="str">
        <f>[1]!xln(C626)</f>
        <v>10 / 3 × (10 + 0.25)³ - 10³ / 3 × (10 - 0.25) - 5 × (10 + 0.25 - 2.69)²</v>
      </c>
      <c r="I625" s="87"/>
    </row>
    <row r="626" spans="1:24" x14ac:dyDescent="0.3">
      <c r="B626" s="16" t="s">
        <v>44</v>
      </c>
      <c r="C626" s="17">
        <f>C611/3*(C612+C613)^3-C612^3/3*(C611-C614)-I614*(C612+C613-C621)^2</f>
        <v>53.67838541666697</v>
      </c>
      <c r="D626" s="18" t="s">
        <v>42</v>
      </c>
      <c r="I626" s="87"/>
    </row>
    <row r="627" spans="1:24" x14ac:dyDescent="0.3">
      <c r="B627" s="16"/>
      <c r="C627" s="17"/>
      <c r="D627" s="18"/>
      <c r="I627" s="87"/>
    </row>
    <row r="628" spans="1:24" ht="15" x14ac:dyDescent="0.3">
      <c r="B628" s="32" t="s">
        <v>45</v>
      </c>
      <c r="C628" s="4" t="str">
        <f ca="1">[1]!xlv(C630)</f>
        <v>t × b³ / 12 + d × tw³ / 12</v>
      </c>
      <c r="G628" s="16" t="s">
        <v>50</v>
      </c>
      <c r="H628" s="4" t="str">
        <f ca="1">[1]!xlv(H630)</f>
        <v>Iᵧ + Iₓ</v>
      </c>
    </row>
    <row r="629" spans="1:24" ht="15" x14ac:dyDescent="0.3">
      <c r="B629" s="32" t="s">
        <v>45</v>
      </c>
      <c r="C629" s="4" t="str">
        <f>[1]!xln(C630)</f>
        <v>0.25 × 10³ / 12 + 10 × 0.25³ / 12</v>
      </c>
      <c r="G629" s="16" t="s">
        <v>50</v>
      </c>
      <c r="H629" s="4" t="str">
        <f>[1]!xln(H630)</f>
        <v>20.8 + 53.7</v>
      </c>
    </row>
    <row r="630" spans="1:24" ht="15" x14ac:dyDescent="0.3">
      <c r="B630" s="32" t="s">
        <v>45</v>
      </c>
      <c r="C630" s="38">
        <f>C613*C611^3/12+C612*C614^3/12</f>
        <v>20.846354166666664</v>
      </c>
      <c r="D630" s="18" t="s">
        <v>42</v>
      </c>
      <c r="G630" s="16" t="s">
        <v>50</v>
      </c>
      <c r="H630" s="17">
        <f>C630+C626</f>
        <v>74.524739583333627</v>
      </c>
      <c r="I630" s="18" t="s">
        <v>42</v>
      </c>
    </row>
    <row r="632" spans="1:24" x14ac:dyDescent="0.3">
      <c r="B632" s="34" t="s">
        <v>36</v>
      </c>
    </row>
    <row r="633" spans="1:24" x14ac:dyDescent="0.3">
      <c r="B633" s="16" t="s">
        <v>46</v>
      </c>
      <c r="C633" s="4" t="str">
        <f ca="1">[1]!xlv(C635)</f>
        <v>(Iₓ / A)⁰·⁵</v>
      </c>
      <c r="F633" s="16" t="s">
        <v>47</v>
      </c>
      <c r="G633" s="4" t="str">
        <f ca="1">[1]!xlv(G635)</f>
        <v>(Iᵧ / A)⁰·⁵</v>
      </c>
    </row>
    <row r="634" spans="1:24" x14ac:dyDescent="0.3">
      <c r="B634" s="16" t="s">
        <v>46</v>
      </c>
      <c r="C634" s="4" t="str">
        <f>[1]!xln(C635)</f>
        <v>(53.7 / 5)⁰·⁵</v>
      </c>
      <c r="F634" s="16" t="s">
        <v>47</v>
      </c>
      <c r="G634" s="4" t="str">
        <f>[1]!xln(G635)</f>
        <v>(20.8 / 5)⁰·⁵</v>
      </c>
      <c r="V634" s="4"/>
      <c r="W634" s="4"/>
      <c r="X634" s="4"/>
    </row>
    <row r="635" spans="1:24" x14ac:dyDescent="0.3">
      <c r="B635" s="16" t="s">
        <v>46</v>
      </c>
      <c r="C635" s="35">
        <f>(C626/I614)^0.5</f>
        <v>3.2765343098056205</v>
      </c>
      <c r="D635" s="18" t="s">
        <v>4</v>
      </c>
      <c r="F635" s="16" t="s">
        <v>47</v>
      </c>
      <c r="G635" s="22">
        <f>(C630/I614)^0.5</f>
        <v>2.0418792406343069</v>
      </c>
      <c r="H635" s="18" t="s">
        <v>4</v>
      </c>
    </row>
    <row r="637" spans="1:24" x14ac:dyDescent="0.3">
      <c r="B637" s="31" t="s">
        <v>111</v>
      </c>
    </row>
    <row r="638" spans="1:24" x14ac:dyDescent="0.3">
      <c r="B638" s="4" t="s">
        <v>83</v>
      </c>
    </row>
    <row r="639" spans="1:24" x14ac:dyDescent="0.3">
      <c r="B639" s="16" t="s">
        <v>72</v>
      </c>
      <c r="C639" s="4" t="str">
        <f ca="1">[1]!xlv(C641)</f>
        <v>d² × tw / 4 - b² × t² / (4 × tw) + b × t × (d + t) / 4</v>
      </c>
    </row>
    <row r="640" spans="1:24" x14ac:dyDescent="0.3">
      <c r="A640" s="11"/>
      <c r="B640" s="16" t="s">
        <v>72</v>
      </c>
      <c r="C640" s="4" t="str">
        <f>[1]!xln(C641)</f>
        <v>10² × 0.25 / 4 - 10² × 0.25² / (4 × 0.25) + 10 × 0.25 × (10 + 0.25) / 4</v>
      </c>
    </row>
    <row r="641" spans="1:11" x14ac:dyDescent="0.3">
      <c r="A641" s="11"/>
      <c r="B641" s="16" t="s">
        <v>72</v>
      </c>
      <c r="C641" s="87">
        <f>C612^2*C614/4-C611^2*C613^2/(4*C614)+C611*C613*(C612+C613)/4</f>
        <v>6.40625</v>
      </c>
      <c r="D641" s="87" t="s">
        <v>33</v>
      </c>
      <c r="E641" s="87"/>
      <c r="F641" s="87"/>
      <c r="G641" s="87"/>
    </row>
    <row r="642" spans="1:11" x14ac:dyDescent="0.3">
      <c r="B642" s="4" t="s">
        <v>84</v>
      </c>
      <c r="C642" s="87"/>
      <c r="D642" s="87"/>
      <c r="E642" s="87"/>
      <c r="F642" s="87"/>
      <c r="G642" s="87"/>
    </row>
    <row r="643" spans="1:11" x14ac:dyDescent="0.3">
      <c r="B643" s="16" t="s">
        <v>72</v>
      </c>
      <c r="C643" s="87" t="str">
        <f ca="1">[1]!xlv(C645)</f>
        <v>t² × b / 4 + tw × d × (t + d - tw × d / (2 × b)) / 2</v>
      </c>
      <c r="D643" s="87"/>
      <c r="E643" s="87"/>
      <c r="F643" s="87"/>
      <c r="G643" s="87"/>
    </row>
    <row r="644" spans="1:11" x14ac:dyDescent="0.3">
      <c r="B644" s="16" t="s">
        <v>72</v>
      </c>
      <c r="C644" s="87" t="str">
        <f>[1]!xln(C645)</f>
        <v>0.25² × 10 / 4 + 0.25 × 10 × (0.25 + 10 - 0.25 × 10 / (2 × 10)) / 2</v>
      </c>
      <c r="D644" s="87"/>
      <c r="E644" s="87"/>
      <c r="F644" s="87"/>
      <c r="G644" s="87"/>
    </row>
    <row r="645" spans="1:11" x14ac:dyDescent="0.3">
      <c r="B645" s="16" t="s">
        <v>72</v>
      </c>
      <c r="C645" s="87">
        <f>C613^2*C611/4+C614*C612*(C613+C612-C614*C612/(2*C611))/2</f>
        <v>12.8125</v>
      </c>
      <c r="D645" s="87" t="s">
        <v>33</v>
      </c>
      <c r="E645" s="87"/>
      <c r="F645" s="87"/>
      <c r="G645" s="87"/>
    </row>
    <row r="647" spans="1:11" x14ac:dyDescent="0.3">
      <c r="B647" s="16" t="s">
        <v>72</v>
      </c>
      <c r="C647" s="87">
        <f>IF(C614*C612&gt;C613*C611,C641,C645)</f>
        <v>12.8125</v>
      </c>
      <c r="D647" s="87"/>
      <c r="E647" s="32" t="s">
        <v>73</v>
      </c>
      <c r="F647" s="4" t="str">
        <f ca="1">[1]!xlv(F649)</f>
        <v>(b² × t + tw² × d) / 4</v>
      </c>
      <c r="G647" s="87"/>
    </row>
    <row r="648" spans="1:11" x14ac:dyDescent="0.3">
      <c r="E648" s="32" t="s">
        <v>73</v>
      </c>
      <c r="F648" s="4" t="str">
        <f>[1]!xln(F649)</f>
        <v>(10² × 0.25 + 0.25² × 10) / 4</v>
      </c>
    </row>
    <row r="649" spans="1:11" x14ac:dyDescent="0.3">
      <c r="E649" s="43" t="s">
        <v>73</v>
      </c>
      <c r="F649" s="22">
        <f>(C611^2*C613+C614^2*C612)/4</f>
        <v>6.40625</v>
      </c>
      <c r="G649" s="4" t="s">
        <v>33</v>
      </c>
    </row>
    <row r="650" spans="1:11" x14ac:dyDescent="0.3">
      <c r="B650" s="32"/>
      <c r="C650" s="38"/>
      <c r="D650" s="18"/>
      <c r="G650" s="16"/>
      <c r="H650" s="17"/>
      <c r="I650" s="18"/>
    </row>
    <row r="651" spans="1:11" x14ac:dyDescent="0.3">
      <c r="B651" s="31" t="s">
        <v>115</v>
      </c>
      <c r="C651" s="87"/>
      <c r="D651" s="87"/>
      <c r="E651" s="87"/>
      <c r="F651" s="87"/>
      <c r="G651" s="87"/>
    </row>
    <row r="652" spans="1:11" x14ac:dyDescent="0.3">
      <c r="B652" s="16" t="s">
        <v>80</v>
      </c>
      <c r="C652" s="87" t="str">
        <f ca="1">[1]!xlv(C654)</f>
        <v>Zₓ × d / (2 × Iₓ)</v>
      </c>
      <c r="D652" s="87"/>
      <c r="E652" s="87"/>
      <c r="F652" s="87"/>
      <c r="G652" s="87"/>
      <c r="H652" s="89" t="s">
        <v>82</v>
      </c>
      <c r="I652" s="87" t="str">
        <f ca="1">[1]!xlv(I654)</f>
        <v>Zᵧ × b / (2 × Iᵧ)</v>
      </c>
      <c r="J652" s="38"/>
    </row>
    <row r="653" spans="1:11" x14ac:dyDescent="0.3">
      <c r="B653" s="16" t="s">
        <v>80</v>
      </c>
      <c r="C653" s="87" t="str">
        <f>[1]!xln(C654)</f>
        <v>12.8 × 10 / (2 × 53.7)</v>
      </c>
      <c r="D653" s="87"/>
      <c r="E653" s="87"/>
      <c r="F653" s="87"/>
      <c r="G653" s="87"/>
      <c r="H653" s="89" t="s">
        <v>82</v>
      </c>
      <c r="I653" s="87" t="str">
        <f>[1]!xln(I654)</f>
        <v>6.41 × 10 / (2 × 20.8)</v>
      </c>
      <c r="J653" s="38"/>
    </row>
    <row r="654" spans="1:11" x14ac:dyDescent="0.3">
      <c r="B654" s="16" t="s">
        <v>80</v>
      </c>
      <c r="C654" s="87">
        <f>C647*C612/(2*C626)</f>
        <v>1.1934505761067247</v>
      </c>
      <c r="D654" s="87"/>
      <c r="E654" s="87"/>
      <c r="F654" s="87"/>
      <c r="G654" s="87"/>
      <c r="H654" s="89" t="s">
        <v>82</v>
      </c>
      <c r="I654" s="87">
        <f>F649*C611/(2*C630)</f>
        <v>1.5365396627108059</v>
      </c>
      <c r="J654" s="38"/>
    </row>
    <row r="655" spans="1:11" x14ac:dyDescent="0.3">
      <c r="A655" s="12"/>
      <c r="B655" s="3"/>
      <c r="C655" s="74"/>
      <c r="D655" s="12"/>
      <c r="E655" s="12"/>
      <c r="F655" s="12"/>
      <c r="G655" s="74"/>
      <c r="H655" s="12"/>
      <c r="I655" s="12"/>
      <c r="J655" s="12"/>
      <c r="K655" s="12"/>
    </row>
    <row r="656" spans="1:11" x14ac:dyDescent="0.3">
      <c r="A656" s="12"/>
      <c r="B656" s="75"/>
      <c r="C656" s="74"/>
      <c r="D656" s="76"/>
      <c r="E656" s="76"/>
      <c r="F656" s="77" t="s">
        <v>105</v>
      </c>
      <c r="G656" s="74"/>
      <c r="H656" s="76"/>
      <c r="I656" s="76"/>
      <c r="J656" s="76"/>
      <c r="K656" s="12"/>
    </row>
    <row r="657" spans="1:185" x14ac:dyDescent="0.3">
      <c r="A657" s="12"/>
      <c r="B657" s="76"/>
      <c r="C657" s="76"/>
      <c r="D657" s="76"/>
      <c r="E657" s="76"/>
      <c r="F657" s="104" t="s">
        <v>106</v>
      </c>
      <c r="G657" s="76"/>
      <c r="H657" s="76"/>
      <c r="I657" s="76"/>
      <c r="J657" s="76"/>
      <c r="K657" s="12"/>
    </row>
    <row r="658" spans="1:185" x14ac:dyDescent="0.3">
      <c r="A658" s="57"/>
      <c r="B658" s="48"/>
      <c r="C658" s="48"/>
      <c r="D658" s="48"/>
      <c r="E658" s="50" t="s">
        <v>5</v>
      </c>
      <c r="F658" s="51" t="str">
        <f>$C$1</f>
        <v>R. Abbott</v>
      </c>
      <c r="G658" s="48"/>
      <c r="H658" s="58"/>
      <c r="I658" s="50" t="s">
        <v>10</v>
      </c>
      <c r="J658" s="59" t="str">
        <f>$G$2</f>
        <v>AA-SM-001-000</v>
      </c>
      <c r="K658" s="60"/>
      <c r="L658" s="61"/>
      <c r="M658" s="52"/>
      <c r="N658" s="52"/>
      <c r="O658" s="52"/>
      <c r="P658" s="5"/>
      <c r="AD658" s="8"/>
    </row>
    <row r="659" spans="1:185" s="10" customFormat="1" x14ac:dyDescent="0.3">
      <c r="A659" s="48"/>
      <c r="B659" s="48"/>
      <c r="C659" s="48"/>
      <c r="D659" s="48"/>
      <c r="E659" s="50" t="s">
        <v>6</v>
      </c>
      <c r="F659" s="58" t="str">
        <f>$C$2</f>
        <v xml:space="preserve"> </v>
      </c>
      <c r="G659" s="48"/>
      <c r="H659" s="58"/>
      <c r="I659" s="50" t="s">
        <v>11</v>
      </c>
      <c r="J659" s="60" t="str">
        <f>$G$3</f>
        <v>B</v>
      </c>
      <c r="K659" s="60"/>
      <c r="L659" s="61"/>
      <c r="M659" s="52">
        <v>1</v>
      </c>
      <c r="N659" s="52"/>
      <c r="O659" s="52"/>
      <c r="P659" s="5"/>
      <c r="Q659" s="9"/>
      <c r="R659" s="7"/>
      <c r="S659" s="7"/>
      <c r="T659" s="2"/>
      <c r="U659" s="2"/>
      <c r="V659" s="2"/>
      <c r="W659" s="2"/>
      <c r="X659" s="2"/>
      <c r="Y659" s="2"/>
      <c r="Z659" s="2"/>
      <c r="AA659" s="2"/>
      <c r="AB659" s="2"/>
      <c r="AC659" s="2"/>
      <c r="AD659" s="2"/>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row>
    <row r="660" spans="1:185" x14ac:dyDescent="0.3">
      <c r="A660" s="48"/>
      <c r="B660" s="48"/>
      <c r="C660" s="48"/>
      <c r="D660" s="48"/>
      <c r="E660" s="50" t="s">
        <v>1</v>
      </c>
      <c r="F660" s="58" t="str">
        <f>$C$3</f>
        <v>20/10/2013</v>
      </c>
      <c r="G660" s="48"/>
      <c r="H660" s="58"/>
      <c r="I660" s="50" t="s">
        <v>12</v>
      </c>
      <c r="J660" s="51" t="str">
        <f>L660&amp;" of "&amp;$G$1</f>
        <v>13 of 16</v>
      </c>
      <c r="K660" s="58"/>
      <c r="L660" s="61">
        <f>SUM($M$1:M659)</f>
        <v>13</v>
      </c>
      <c r="M660" s="52"/>
      <c r="N660" s="52"/>
      <c r="O660" s="52"/>
      <c r="P660" s="5"/>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row>
    <row r="661" spans="1:185" x14ac:dyDescent="0.3">
      <c r="A661" s="48"/>
      <c r="B661" s="48"/>
      <c r="C661" s="48"/>
      <c r="D661" s="48"/>
      <c r="E661" s="50" t="s">
        <v>63</v>
      </c>
      <c r="F661" s="58" t="str">
        <f>$C$5</f>
        <v>STANDARD SPREADSHEET METHOD</v>
      </c>
      <c r="G661" s="48"/>
      <c r="H661" s="48"/>
      <c r="I661" s="62"/>
      <c r="J661" s="51"/>
      <c r="K661" s="48"/>
      <c r="L661" s="48"/>
      <c r="M661" s="52"/>
      <c r="N661" s="52"/>
      <c r="O661" s="52"/>
      <c r="P661" s="5"/>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row>
    <row r="662" spans="1:185" ht="15.6" x14ac:dyDescent="0.3">
      <c r="A662" s="12"/>
      <c r="B662" s="64" t="str">
        <f>$G$4</f>
        <v>SECTION PROPERTIES</v>
      </c>
      <c r="C662" s="12"/>
      <c r="D662" s="12"/>
      <c r="E662" s="12"/>
      <c r="F662" s="12"/>
      <c r="G662" s="12"/>
      <c r="H662" s="12"/>
      <c r="I662" s="12"/>
      <c r="J662" s="12"/>
      <c r="K662" s="1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row>
    <row r="663" spans="1:185" x14ac:dyDescent="0.3">
      <c r="A663" s="44"/>
      <c r="B663" s="44" t="s">
        <v>122</v>
      </c>
      <c r="C663" s="44"/>
      <c r="D663" s="44"/>
      <c r="E663" s="44"/>
    </row>
    <row r="664" spans="1:185" x14ac:dyDescent="0.3">
      <c r="A664" s="11"/>
      <c r="B664" s="19"/>
      <c r="C664" s="11"/>
      <c r="D664" s="15"/>
      <c r="E664" s="11"/>
      <c r="F664" s="11"/>
      <c r="G664" s="11"/>
      <c r="H664" s="11"/>
      <c r="I664" s="11"/>
      <c r="J664" s="11"/>
      <c r="K664" s="11"/>
    </row>
    <row r="666" spans="1:185" x14ac:dyDescent="0.3">
      <c r="A666" s="30"/>
      <c r="B666" s="16" t="s">
        <v>37</v>
      </c>
      <c r="C666" s="24">
        <v>5</v>
      </c>
      <c r="D666" s="18" t="s">
        <v>4</v>
      </c>
      <c r="H666" s="31" t="s">
        <v>28</v>
      </c>
      <c r="U666" s="2" t="s">
        <v>77</v>
      </c>
    </row>
    <row r="667" spans="1:185" x14ac:dyDescent="0.3">
      <c r="A667" s="18"/>
      <c r="B667" s="32" t="s">
        <v>76</v>
      </c>
      <c r="C667" s="88">
        <v>5</v>
      </c>
      <c r="D667" s="4" t="s">
        <v>4</v>
      </c>
      <c r="E667" s="18"/>
      <c r="F667" s="18"/>
      <c r="G667" s="18"/>
      <c r="H667" s="16" t="s">
        <v>31</v>
      </c>
      <c r="I667" s="4" t="str">
        <f ca="1">[1]!xlv(I669)</f>
        <v>t × b + 2 × tw × d</v>
      </c>
    </row>
    <row r="668" spans="1:185" x14ac:dyDescent="0.3">
      <c r="A668" s="18"/>
      <c r="B668" s="32" t="s">
        <v>49</v>
      </c>
      <c r="C668" s="88">
        <v>0.25</v>
      </c>
      <c r="D668" s="4" t="s">
        <v>4</v>
      </c>
      <c r="H668" s="16" t="s">
        <v>31</v>
      </c>
      <c r="I668" s="4" t="str">
        <f>[1]!xln(I669)</f>
        <v>0.25 × 5 + 2 × 0.25 × 5</v>
      </c>
      <c r="J668" s="11"/>
      <c r="U668" s="42"/>
    </row>
    <row r="669" spans="1:185" x14ac:dyDescent="0.3">
      <c r="A669" s="18"/>
      <c r="B669" s="32" t="s">
        <v>81</v>
      </c>
      <c r="C669" s="88">
        <v>0.25</v>
      </c>
      <c r="D669" s="4" t="s">
        <v>4</v>
      </c>
      <c r="H669" s="16" t="s">
        <v>31</v>
      </c>
      <c r="I669" s="17">
        <f>C668*C666+2*C669*C667</f>
        <v>3.75</v>
      </c>
      <c r="J669" s="18" t="s">
        <v>41</v>
      </c>
    </row>
    <row r="670" spans="1:185" x14ac:dyDescent="0.3">
      <c r="A670" s="18"/>
      <c r="B670" s="32"/>
      <c r="C670" s="33"/>
      <c r="X670" s="4"/>
      <c r="Y670" s="4"/>
      <c r="Z670" s="4"/>
      <c r="AA670" s="4"/>
    </row>
    <row r="671" spans="1:185" x14ac:dyDescent="0.3">
      <c r="A671" s="18"/>
      <c r="B671" s="18"/>
      <c r="U671" s="42"/>
      <c r="X671" s="4"/>
      <c r="Y671" s="4"/>
      <c r="Z671" s="4"/>
      <c r="AA671" s="4"/>
    </row>
    <row r="672" spans="1:185" x14ac:dyDescent="0.3">
      <c r="A672" s="18"/>
      <c r="X672" s="4"/>
      <c r="Y672" s="4"/>
      <c r="Z672" s="4"/>
      <c r="AA672" s="4"/>
    </row>
    <row r="673" spans="1:27" x14ac:dyDescent="0.3">
      <c r="A673" s="11"/>
      <c r="B673" s="34" t="s">
        <v>36</v>
      </c>
      <c r="E673" s="2"/>
      <c r="X673" s="4"/>
      <c r="Y673" s="4"/>
      <c r="Z673" s="4"/>
      <c r="AA673" s="4"/>
    </row>
    <row r="674" spans="1:27" x14ac:dyDescent="0.3">
      <c r="B674" s="16" t="s">
        <v>46</v>
      </c>
      <c r="C674" s="4" t="str">
        <f ca="1">[1]!xlv(C676)</f>
        <v>(Iₓ / A)⁰·⁵</v>
      </c>
      <c r="E674" s="2"/>
      <c r="F674" s="16" t="s">
        <v>47</v>
      </c>
      <c r="G674" s="4" t="str">
        <f ca="1">[1]!xlv(G676)</f>
        <v>(Iᵧ / A)⁰·⁵</v>
      </c>
      <c r="X674" s="4"/>
      <c r="Y674" s="4"/>
      <c r="Z674" s="4"/>
    </row>
    <row r="675" spans="1:27" x14ac:dyDescent="0.3">
      <c r="B675" s="16" t="s">
        <v>46</v>
      </c>
      <c r="C675" s="4" t="str">
        <f>[1]!xln(C676)</f>
        <v>(11 / 3.75)⁰·⁵</v>
      </c>
      <c r="E675" s="2"/>
      <c r="F675" s="16" t="s">
        <v>47</v>
      </c>
      <c r="G675" s="4" t="str">
        <f>[1]!xln(G676)</f>
        <v>(16.7 / 3.75)⁰·⁵</v>
      </c>
      <c r="X675" s="4"/>
      <c r="Y675" s="4"/>
      <c r="Z675" s="4"/>
    </row>
    <row r="676" spans="1:27" x14ac:dyDescent="0.3">
      <c r="B676" s="16" t="s">
        <v>46</v>
      </c>
      <c r="C676" s="35">
        <f>(C687/I669)^0.5</f>
        <v>1.709349291397168</v>
      </c>
      <c r="D676" s="18" t="s">
        <v>4</v>
      </c>
      <c r="E676" s="2"/>
      <c r="F676" s="16" t="s">
        <v>47</v>
      </c>
      <c r="G676" s="22">
        <f>(C691/I669)^0.5</f>
        <v>2.1114765765533212</v>
      </c>
      <c r="H676" s="18" t="s">
        <v>4</v>
      </c>
      <c r="X676" s="4"/>
      <c r="Y676" s="4"/>
      <c r="Z676" s="4"/>
    </row>
    <row r="678" spans="1:27" x14ac:dyDescent="0.3">
      <c r="B678" s="31" t="s">
        <v>74</v>
      </c>
      <c r="U678" s="42"/>
    </row>
    <row r="679" spans="1:27" x14ac:dyDescent="0.3">
      <c r="B679" s="32" t="s">
        <v>24</v>
      </c>
      <c r="C679" s="22">
        <f>C666/2</f>
        <v>2.5</v>
      </c>
      <c r="D679" s="4" t="s">
        <v>4</v>
      </c>
    </row>
    <row r="680" spans="1:27" x14ac:dyDescent="0.3">
      <c r="B680" s="32" t="s">
        <v>26</v>
      </c>
      <c r="C680" s="4" t="str">
        <f ca="1">[1]!xlv(C682)</f>
        <v>(b × t² + 2 × tw × d × (2 × t + d)) / (2 × (t × b + 2 × tw × d))</v>
      </c>
    </row>
    <row r="681" spans="1:27" x14ac:dyDescent="0.3">
      <c r="B681" s="32" t="s">
        <v>26</v>
      </c>
      <c r="C681" s="4" t="str">
        <f>[1]!xln(C682)</f>
        <v>(5 × 0.25² + 2 × 0.25 × 5 × (2 × 0.25 + 5)) / (2 × (0.25 × 5 + 2 × 0.25 × 5))</v>
      </c>
    </row>
    <row r="682" spans="1:27" x14ac:dyDescent="0.3">
      <c r="B682" s="32" t="s">
        <v>26</v>
      </c>
      <c r="C682" s="22">
        <f>(C666*C668^2+2*C669*C667*(2*C668+C667))/(2*(C668*C666+2*C669*C667))</f>
        <v>1.875</v>
      </c>
      <c r="D682" s="4" t="s">
        <v>4</v>
      </c>
    </row>
    <row r="684" spans="1:27" x14ac:dyDescent="0.3">
      <c r="B684" s="31" t="s">
        <v>110</v>
      </c>
    </row>
    <row r="685" spans="1:27" x14ac:dyDescent="0.3">
      <c r="B685" s="16" t="s">
        <v>44</v>
      </c>
      <c r="C685" s="4" t="str">
        <f ca="1">[1]!xlv(C687)</f>
        <v>b / 3 × (d + t)³ - d³ / 3 × (b - 2 × tw) - A × (d + t - ẏ)²</v>
      </c>
    </row>
    <row r="686" spans="1:27" x14ac:dyDescent="0.3">
      <c r="B686" s="16" t="s">
        <v>44</v>
      </c>
      <c r="C686" s="4" t="str">
        <f>[1]!xln(C687)</f>
        <v>5 / 3 × (5 + 0.25)³ - 5³ / 3 × (5 - 2 × 0.25) - 3.75 × (5 + 0.25 - 1.88)²</v>
      </c>
    </row>
    <row r="687" spans="1:27" x14ac:dyDescent="0.3">
      <c r="B687" s="16" t="s">
        <v>44</v>
      </c>
      <c r="C687" s="17">
        <f>C666/3*(C667+C668)^3-C667^3/3*(C666-2*C669)-I669*(C667+C668-C682)^2</f>
        <v>10.95703125</v>
      </c>
      <c r="D687" s="18" t="s">
        <v>42</v>
      </c>
    </row>
    <row r="689" spans="1:9" ht="15" x14ac:dyDescent="0.3">
      <c r="B689" s="32" t="s">
        <v>45</v>
      </c>
      <c r="C689" s="4" t="str">
        <f ca="1">[1]!xlv(C691)</f>
        <v>(d + t) × b³ / 12 - d × (b - 2 × tw)³ / 12</v>
      </c>
      <c r="G689" s="16" t="s">
        <v>50</v>
      </c>
      <c r="H689" s="4" t="str">
        <f ca="1">[1]!xlv(H691)</f>
        <v>Iᵧ + Iₓ</v>
      </c>
    </row>
    <row r="690" spans="1:9" ht="15" x14ac:dyDescent="0.3">
      <c r="B690" s="32" t="s">
        <v>45</v>
      </c>
      <c r="C690" s="4" t="str">
        <f>[1]!xln(C691)</f>
        <v>(5 + 0.25) × 5³ / 12 - 5 × (5 - 2 × 0.25)³ / 12</v>
      </c>
      <c r="G690" s="16" t="s">
        <v>50</v>
      </c>
      <c r="H690" s="4" t="str">
        <f>[1]!xln(H691)</f>
        <v>16.7 + 11</v>
      </c>
    </row>
    <row r="691" spans="1:9" ht="15" x14ac:dyDescent="0.3">
      <c r="B691" s="32" t="s">
        <v>45</v>
      </c>
      <c r="C691" s="38">
        <f>(C667+C668)*C666^3/12-C667*(C666-2*C669)^3/12</f>
        <v>16.71875</v>
      </c>
      <c r="D691" s="18" t="s">
        <v>42</v>
      </c>
      <c r="G691" s="16" t="s">
        <v>50</v>
      </c>
      <c r="H691" s="17">
        <f>C691+C687</f>
        <v>27.67578125</v>
      </c>
      <c r="I691" s="18" t="s">
        <v>42</v>
      </c>
    </row>
    <row r="693" spans="1:9" x14ac:dyDescent="0.3">
      <c r="B693" s="31" t="s">
        <v>111</v>
      </c>
    </row>
    <row r="694" spans="1:9" x14ac:dyDescent="0.3">
      <c r="B694" s="4" t="s">
        <v>85</v>
      </c>
    </row>
    <row r="695" spans="1:9" x14ac:dyDescent="0.3">
      <c r="A695" s="11"/>
      <c r="B695" s="16" t="s">
        <v>72</v>
      </c>
      <c r="C695" s="4" t="str">
        <f ca="1">[1]!xlv(C697)</f>
        <v>d² × tw / 2 - b² × t² / (8 × tw) + b × t × (d + t) / 4</v>
      </c>
    </row>
    <row r="696" spans="1:9" x14ac:dyDescent="0.3">
      <c r="A696" s="11"/>
      <c r="B696" s="16" t="s">
        <v>72</v>
      </c>
      <c r="C696" s="4" t="str">
        <f>[1]!xln(C697)</f>
        <v>5² × 0.25 / 2 - 5² × 0.25² / (8 × 0.25) + 5 × 0.25 × (5 + 0.25) / 4</v>
      </c>
    </row>
    <row r="697" spans="1:9" x14ac:dyDescent="0.3">
      <c r="B697" s="16" t="s">
        <v>72</v>
      </c>
      <c r="C697" s="87">
        <f>C667^2*C669/2-C666^2*C668^2/(8*C669)+C666*C668*(C667+C668)/4</f>
        <v>3.984375</v>
      </c>
      <c r="D697" s="87" t="s">
        <v>33</v>
      </c>
      <c r="E697" s="87"/>
      <c r="F697" s="87"/>
      <c r="G697" s="87"/>
      <c r="H697" s="87"/>
      <c r="I697" s="87"/>
    </row>
    <row r="698" spans="1:9" x14ac:dyDescent="0.3">
      <c r="B698" s="4" t="s">
        <v>86</v>
      </c>
      <c r="C698" s="87"/>
      <c r="D698" s="87"/>
      <c r="E698" s="87"/>
      <c r="F698" s="87"/>
      <c r="G698" s="87"/>
      <c r="H698" s="87"/>
      <c r="I698" s="87"/>
    </row>
    <row r="699" spans="1:9" x14ac:dyDescent="0.3">
      <c r="B699" s="16" t="s">
        <v>72</v>
      </c>
      <c r="C699" s="87" t="str">
        <f ca="1">[1]!xlv(C701)</f>
        <v>t² × b / 4 + tw × d × (t + d - tw × d / b)</v>
      </c>
      <c r="D699" s="87"/>
      <c r="E699" s="87"/>
      <c r="F699" s="87"/>
      <c r="G699" s="87"/>
      <c r="H699" s="87"/>
      <c r="I699" s="87"/>
    </row>
    <row r="700" spans="1:9" x14ac:dyDescent="0.3">
      <c r="B700" s="16" t="s">
        <v>72</v>
      </c>
      <c r="C700" s="87" t="str">
        <f>[1]!xln(C701)</f>
        <v>0.25² × 5 / 4 + 0.25 × 5 × (0.25 + 5 - 0.25 × 5 / 5)</v>
      </c>
      <c r="D700" s="87"/>
      <c r="E700" s="87"/>
      <c r="F700" s="87"/>
      <c r="G700" s="87"/>
      <c r="H700" s="87"/>
      <c r="I700" s="87"/>
    </row>
    <row r="701" spans="1:9" x14ac:dyDescent="0.3">
      <c r="B701" s="16" t="s">
        <v>72</v>
      </c>
      <c r="C701" s="87">
        <f>C668^2*C666/4+C669*C667*(C668+C667-C669*C667/C666)</f>
        <v>6.328125</v>
      </c>
      <c r="D701" s="87" t="s">
        <v>33</v>
      </c>
      <c r="E701" s="87"/>
      <c r="F701" s="87"/>
      <c r="G701" s="87"/>
      <c r="H701" s="87"/>
      <c r="I701" s="87"/>
    </row>
    <row r="702" spans="1:9" x14ac:dyDescent="0.3">
      <c r="G702" s="32" t="s">
        <v>73</v>
      </c>
      <c r="H702" s="4" t="str">
        <f ca="1">[1]!xlv(H704)</f>
        <v>b² × t / 4 + tw × d × (b - tw)</v>
      </c>
    </row>
    <row r="703" spans="1:9" x14ac:dyDescent="0.3">
      <c r="B703" s="16" t="s">
        <v>72</v>
      </c>
      <c r="C703" s="87">
        <f>IF(2*C669*C667&gt;C668*C666,C697,C701)</f>
        <v>3.984375</v>
      </c>
      <c r="D703" s="87"/>
      <c r="E703" s="87"/>
      <c r="F703" s="87"/>
      <c r="G703" s="32" t="s">
        <v>73</v>
      </c>
      <c r="H703" s="4" t="str">
        <f>[1]!xln(H704)</f>
        <v>5² × 0.25 / 4 + 0.25 × 5 × (5 - 0.25)</v>
      </c>
    </row>
    <row r="704" spans="1:9" x14ac:dyDescent="0.3">
      <c r="C704" s="87"/>
      <c r="D704" s="87"/>
      <c r="E704" s="87"/>
      <c r="F704" s="87"/>
      <c r="G704" s="43" t="s">
        <v>73</v>
      </c>
      <c r="H704" s="22">
        <f>C666^2*C668/4+C669*C667*(C666-C669)</f>
        <v>7.5</v>
      </c>
      <c r="I704" s="4" t="s">
        <v>33</v>
      </c>
    </row>
    <row r="705" spans="1:185" x14ac:dyDescent="0.3">
      <c r="C705" s="87"/>
      <c r="D705" s="87"/>
      <c r="E705" s="87"/>
      <c r="F705" s="87"/>
      <c r="G705" s="43"/>
      <c r="H705" s="22"/>
    </row>
    <row r="706" spans="1:185" x14ac:dyDescent="0.3">
      <c r="B706" s="31" t="s">
        <v>115</v>
      </c>
      <c r="C706" s="87"/>
      <c r="D706" s="87"/>
      <c r="E706" s="87"/>
      <c r="F706" s="87"/>
      <c r="G706" s="43"/>
      <c r="H706" s="22"/>
    </row>
    <row r="707" spans="1:185" x14ac:dyDescent="0.3">
      <c r="B707" s="16" t="s">
        <v>80</v>
      </c>
      <c r="C707" s="87" t="str">
        <f ca="1">[1]!xlv(C709)</f>
        <v>Zₓ × (d + t - ẏ) / Iₓ</v>
      </c>
      <c r="D707" s="87"/>
      <c r="E707" s="87"/>
      <c r="F707" s="87"/>
      <c r="G707" s="89" t="s">
        <v>82</v>
      </c>
      <c r="H707" s="87" t="str">
        <f ca="1">[1]!xlv(H709)</f>
        <v>Zᵧ × b / (2 × Iᵧ)</v>
      </c>
      <c r="I707" s="38"/>
    </row>
    <row r="708" spans="1:185" x14ac:dyDescent="0.3">
      <c r="B708" s="16" t="s">
        <v>80</v>
      </c>
      <c r="C708" s="87" t="str">
        <f>[1]!xln(C709)</f>
        <v>3.98 × (5 + 0.25 - 1.88) / 11</v>
      </c>
      <c r="D708" s="87"/>
      <c r="E708" s="87"/>
      <c r="F708" s="87"/>
      <c r="G708" s="89" t="s">
        <v>82</v>
      </c>
      <c r="H708" s="87" t="str">
        <f>[1]!xln(H709)</f>
        <v>7.5 × 5 / (2 × 16.7)</v>
      </c>
      <c r="I708" s="38"/>
    </row>
    <row r="709" spans="1:185" x14ac:dyDescent="0.3">
      <c r="B709" s="16" t="s">
        <v>80</v>
      </c>
      <c r="C709" s="87">
        <f>C703*(C667+C668-C682)/C687</f>
        <v>1.2272727272727273</v>
      </c>
      <c r="D709" s="87"/>
      <c r="E709" s="87"/>
      <c r="F709" s="87"/>
      <c r="G709" s="89" t="s">
        <v>82</v>
      </c>
      <c r="H709" s="87">
        <f>H704*C666/(2*C691)</f>
        <v>1.1214953271028036</v>
      </c>
      <c r="I709" s="38"/>
    </row>
    <row r="710" spans="1:185" x14ac:dyDescent="0.3">
      <c r="A710" s="12"/>
      <c r="B710" s="3"/>
      <c r="C710" s="74"/>
      <c r="D710" s="12"/>
      <c r="E710" s="12"/>
      <c r="F710" s="12"/>
      <c r="G710" s="74"/>
      <c r="H710" s="12"/>
      <c r="I710" s="12"/>
      <c r="J710" s="12"/>
      <c r="K710" s="12"/>
    </row>
    <row r="711" spans="1:185" x14ac:dyDescent="0.3">
      <c r="A711" s="12"/>
      <c r="B711" s="75"/>
      <c r="C711" s="74"/>
      <c r="D711" s="76"/>
      <c r="E711" s="76"/>
      <c r="F711" s="77" t="s">
        <v>105</v>
      </c>
      <c r="G711" s="74"/>
      <c r="H711" s="76"/>
      <c r="I711" s="76"/>
      <c r="J711" s="76"/>
      <c r="K711" s="12"/>
    </row>
    <row r="712" spans="1:185" x14ac:dyDescent="0.3">
      <c r="A712" s="12"/>
      <c r="B712" s="76"/>
      <c r="C712" s="76"/>
      <c r="D712" s="76"/>
      <c r="E712" s="76"/>
      <c r="F712" s="104" t="s">
        <v>106</v>
      </c>
      <c r="G712" s="76"/>
      <c r="H712" s="76"/>
      <c r="I712" s="76"/>
      <c r="J712" s="76"/>
      <c r="K712" s="12"/>
    </row>
    <row r="713" spans="1:185" x14ac:dyDescent="0.3">
      <c r="A713" s="57"/>
      <c r="B713" s="48"/>
      <c r="C713" s="48"/>
      <c r="D713" s="48"/>
      <c r="E713" s="50" t="s">
        <v>5</v>
      </c>
      <c r="F713" s="51" t="str">
        <f>$C$1</f>
        <v>R. Abbott</v>
      </c>
      <c r="G713" s="48"/>
      <c r="H713" s="58"/>
      <c r="I713" s="50" t="s">
        <v>10</v>
      </c>
      <c r="J713" s="59" t="str">
        <f>$G$2</f>
        <v>AA-SM-001-000</v>
      </c>
      <c r="K713" s="60"/>
      <c r="L713" s="61"/>
      <c r="M713" s="52"/>
      <c r="N713" s="52"/>
      <c r="O713" s="52"/>
      <c r="P713" s="5"/>
      <c r="AD713" s="8"/>
    </row>
    <row r="714" spans="1:185" s="10" customFormat="1" x14ac:dyDescent="0.3">
      <c r="A714" s="48"/>
      <c r="B714" s="48"/>
      <c r="C714" s="48"/>
      <c r="D714" s="48"/>
      <c r="E714" s="50" t="s">
        <v>6</v>
      </c>
      <c r="F714" s="58" t="str">
        <f>$C$2</f>
        <v xml:space="preserve"> </v>
      </c>
      <c r="G714" s="48"/>
      <c r="H714" s="58"/>
      <c r="I714" s="50" t="s">
        <v>11</v>
      </c>
      <c r="J714" s="60" t="str">
        <f>$G$3</f>
        <v>B</v>
      </c>
      <c r="K714" s="60"/>
      <c r="L714" s="61"/>
      <c r="M714" s="52">
        <v>1</v>
      </c>
      <c r="N714" s="52"/>
      <c r="O714" s="52"/>
      <c r="P714" s="5"/>
      <c r="Q714" s="9"/>
      <c r="R714" s="7"/>
      <c r="S714" s="7"/>
      <c r="T714" s="2"/>
      <c r="U714" s="2"/>
      <c r="V714" s="2"/>
      <c r="W714" s="2"/>
      <c r="X714" s="2"/>
      <c r="Y714" s="2"/>
      <c r="Z714" s="2"/>
      <c r="AA714" s="2"/>
      <c r="AB714" s="2"/>
      <c r="AC714" s="2"/>
      <c r="AD714" s="2"/>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row>
    <row r="715" spans="1:185" x14ac:dyDescent="0.3">
      <c r="A715" s="48"/>
      <c r="B715" s="48"/>
      <c r="C715" s="48"/>
      <c r="D715" s="48"/>
      <c r="E715" s="50" t="s">
        <v>1</v>
      </c>
      <c r="F715" s="58" t="str">
        <f>$C$3</f>
        <v>20/10/2013</v>
      </c>
      <c r="G715" s="48"/>
      <c r="H715" s="58"/>
      <c r="I715" s="50" t="s">
        <v>12</v>
      </c>
      <c r="J715" s="51" t="str">
        <f>L715&amp;" of "&amp;$G$1</f>
        <v>14 of 16</v>
      </c>
      <c r="K715" s="58"/>
      <c r="L715" s="61">
        <f>SUM($M$1:M714)</f>
        <v>14</v>
      </c>
      <c r="M715" s="52"/>
      <c r="N715" s="52"/>
      <c r="O715" s="52"/>
      <c r="P715" s="5"/>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row>
    <row r="716" spans="1:185" x14ac:dyDescent="0.3">
      <c r="A716" s="48"/>
      <c r="B716" s="48"/>
      <c r="C716" s="48"/>
      <c r="D716" s="48"/>
      <c r="E716" s="50" t="s">
        <v>63</v>
      </c>
      <c r="F716" s="58" t="str">
        <f>$C$5</f>
        <v>STANDARD SPREADSHEET METHOD</v>
      </c>
      <c r="G716" s="48"/>
      <c r="H716" s="48"/>
      <c r="I716" s="62"/>
      <c r="J716" s="51"/>
      <c r="K716" s="48"/>
      <c r="L716" s="48"/>
      <c r="M716" s="52"/>
      <c r="N716" s="52"/>
      <c r="O716" s="52"/>
      <c r="P716" s="5"/>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row>
    <row r="717" spans="1:185" ht="15.6" x14ac:dyDescent="0.3">
      <c r="A717" s="12"/>
      <c r="B717" s="64" t="str">
        <f>$G$4</f>
        <v>SECTION PROPERTIES</v>
      </c>
      <c r="C717" s="12"/>
      <c r="D717" s="12"/>
      <c r="E717" s="12"/>
      <c r="F717" s="12"/>
      <c r="G717" s="12"/>
      <c r="H717" s="12"/>
      <c r="I717" s="12"/>
      <c r="J717" s="12"/>
      <c r="K717" s="1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row>
    <row r="718" spans="1:185" x14ac:dyDescent="0.3">
      <c r="A718" s="44"/>
      <c r="B718" s="11" t="s">
        <v>123</v>
      </c>
      <c r="C718" s="44"/>
      <c r="D718" s="44"/>
      <c r="E718" s="44"/>
    </row>
    <row r="719" spans="1:185" x14ac:dyDescent="0.3">
      <c r="A719" s="11"/>
      <c r="C719" s="11"/>
      <c r="D719" s="15"/>
      <c r="E719" s="11"/>
      <c r="F719" s="11"/>
      <c r="G719" s="11"/>
      <c r="H719" s="11"/>
      <c r="I719" s="11"/>
      <c r="J719" s="11"/>
      <c r="K719" s="11"/>
    </row>
    <row r="721" spans="1:21" x14ac:dyDescent="0.3">
      <c r="A721" s="30"/>
      <c r="B721" s="16" t="s">
        <v>37</v>
      </c>
      <c r="C721" s="20">
        <v>10</v>
      </c>
      <c r="D721" s="18" t="s">
        <v>4</v>
      </c>
      <c r="I721" s="34" t="s">
        <v>36</v>
      </c>
      <c r="U721" s="2" t="s">
        <v>77</v>
      </c>
    </row>
    <row r="722" spans="1:21" x14ac:dyDescent="0.3">
      <c r="A722" s="18"/>
      <c r="B722" s="32" t="s">
        <v>76</v>
      </c>
      <c r="C722" s="33">
        <v>10</v>
      </c>
      <c r="D722" s="4" t="s">
        <v>4</v>
      </c>
      <c r="E722" s="18"/>
      <c r="F722" s="18"/>
      <c r="G722" s="18"/>
      <c r="I722" s="16" t="s">
        <v>46</v>
      </c>
      <c r="J722" s="4" t="str">
        <f ca="1">[1]!xlv(J724)</f>
        <v>(Iₓ / A)⁰·⁵</v>
      </c>
    </row>
    <row r="723" spans="1:21" x14ac:dyDescent="0.3">
      <c r="A723" s="18"/>
      <c r="B723" s="32" t="s">
        <v>49</v>
      </c>
      <c r="C723" s="88">
        <v>0.25</v>
      </c>
      <c r="D723" s="4" t="s">
        <v>4</v>
      </c>
      <c r="I723" s="16" t="s">
        <v>46</v>
      </c>
      <c r="J723" s="4" t="str">
        <f>[1]!xln(J724)</f>
        <v>(152 / 7.5)⁰·⁵</v>
      </c>
      <c r="U723" s="42"/>
    </row>
    <row r="724" spans="1:21" x14ac:dyDescent="0.3">
      <c r="A724" s="18"/>
      <c r="B724" s="32" t="s">
        <v>81</v>
      </c>
      <c r="C724" s="88">
        <v>0.25</v>
      </c>
      <c r="D724" s="4" t="s">
        <v>4</v>
      </c>
      <c r="I724" s="16" t="s">
        <v>46</v>
      </c>
      <c r="J724" s="35">
        <f>(C742/C731)^0.5</f>
        <v>4.5046272505798601</v>
      </c>
      <c r="K724" s="18" t="s">
        <v>4</v>
      </c>
    </row>
    <row r="725" spans="1:21" x14ac:dyDescent="0.3">
      <c r="A725" s="18"/>
      <c r="B725" s="32"/>
      <c r="C725" s="33"/>
    </row>
    <row r="726" spans="1:21" x14ac:dyDescent="0.3">
      <c r="A726" s="18"/>
      <c r="B726" s="18"/>
      <c r="I726" s="16" t="s">
        <v>47</v>
      </c>
      <c r="J726" s="4" t="str">
        <f ca="1">[1]!xlv(J728)</f>
        <v>(Iᵧ / A)⁰·⁵</v>
      </c>
      <c r="U726" s="42"/>
    </row>
    <row r="727" spans="1:21" x14ac:dyDescent="0.3">
      <c r="A727" s="18"/>
      <c r="I727" s="16" t="s">
        <v>47</v>
      </c>
      <c r="J727" s="4" t="str">
        <f>[1]!xln(J728)</f>
        <v>(41.7 / 7.5)⁰·⁵</v>
      </c>
    </row>
    <row r="728" spans="1:21" x14ac:dyDescent="0.3">
      <c r="A728" s="11"/>
      <c r="B728" s="31" t="s">
        <v>28</v>
      </c>
      <c r="I728" s="16" t="s">
        <v>47</v>
      </c>
      <c r="J728" s="22">
        <f>(C746/C731)^0.5</f>
        <v>2.3573908599692728</v>
      </c>
      <c r="K728" s="18" t="s">
        <v>4</v>
      </c>
    </row>
    <row r="729" spans="1:21" x14ac:dyDescent="0.3">
      <c r="B729" s="16" t="s">
        <v>31</v>
      </c>
      <c r="C729" s="4" t="str">
        <f ca="1">[1]!xlv(C731)</f>
        <v>2 × b × t + tw × d</v>
      </c>
    </row>
    <row r="730" spans="1:21" x14ac:dyDescent="0.3">
      <c r="B730" s="16" t="s">
        <v>31</v>
      </c>
      <c r="C730" s="4" t="str">
        <f>[1]!xln(C731)</f>
        <v>2 × 10 × 0.25 + 0.25 × 10</v>
      </c>
      <c r="D730" s="11"/>
    </row>
    <row r="731" spans="1:21" x14ac:dyDescent="0.3">
      <c r="B731" s="16" t="s">
        <v>31</v>
      </c>
      <c r="C731" s="17">
        <f>2*C721*C723+C724*C722</f>
        <v>7.5</v>
      </c>
      <c r="D731" s="18" t="s">
        <v>41</v>
      </c>
    </row>
    <row r="733" spans="1:21" x14ac:dyDescent="0.3">
      <c r="B733" s="31" t="s">
        <v>74</v>
      </c>
      <c r="U733" s="42"/>
    </row>
    <row r="734" spans="1:21" x14ac:dyDescent="0.3">
      <c r="B734" s="32" t="s">
        <v>24</v>
      </c>
      <c r="C734" s="22">
        <f>C721/2</f>
        <v>5</v>
      </c>
      <c r="D734" s="4" t="s">
        <v>4</v>
      </c>
    </row>
    <row r="735" spans="1:21" x14ac:dyDescent="0.3">
      <c r="B735" s="32" t="s">
        <v>26</v>
      </c>
      <c r="C735" s="4" t="str">
        <f ca="1">[1]!xlv(C737)</f>
        <v>d / 2 + t</v>
      </c>
    </row>
    <row r="736" spans="1:21" x14ac:dyDescent="0.3">
      <c r="B736" s="32" t="s">
        <v>26</v>
      </c>
      <c r="C736" s="4" t="str">
        <f>[1]!xln(C737)</f>
        <v>10 / 2 + 0.25</v>
      </c>
    </row>
    <row r="737" spans="1:9" x14ac:dyDescent="0.3">
      <c r="B737" s="32" t="s">
        <v>26</v>
      </c>
      <c r="C737" s="22">
        <f>C722/2+C723</f>
        <v>5.25</v>
      </c>
      <c r="D737" s="4" t="s">
        <v>4</v>
      </c>
    </row>
    <row r="739" spans="1:9" x14ac:dyDescent="0.3">
      <c r="B739" s="31" t="s">
        <v>110</v>
      </c>
    </row>
    <row r="740" spans="1:9" x14ac:dyDescent="0.3">
      <c r="B740" s="16" t="s">
        <v>44</v>
      </c>
      <c r="C740" s="4" t="str">
        <f ca="1">[1]!xlv(C742)</f>
        <v>b × (d + 2 × t)³ / 12 - (b - tw) × d³ / 12</v>
      </c>
    </row>
    <row r="741" spans="1:9" x14ac:dyDescent="0.3">
      <c r="B741" s="16" t="s">
        <v>44</v>
      </c>
      <c r="C741" s="4" t="str">
        <f>[1]!xln(C742)</f>
        <v>10 × (10 + 2 × 0.25)³ / 12 - (10 - 0.25) × 10³ / 12</v>
      </c>
    </row>
    <row r="742" spans="1:9" x14ac:dyDescent="0.3">
      <c r="B742" s="16" t="s">
        <v>44</v>
      </c>
      <c r="C742" s="17">
        <f>C721*(C722+2*C723)^3/12-(C721-C724)*C722^3/12</f>
        <v>152.1875</v>
      </c>
      <c r="D742" s="18" t="s">
        <v>42</v>
      </c>
    </row>
    <row r="744" spans="1:9" ht="15" x14ac:dyDescent="0.3">
      <c r="B744" s="32" t="s">
        <v>45</v>
      </c>
      <c r="C744" s="4" t="str">
        <f ca="1">[1]!xlv(C746)</f>
        <v>b³ × t / 6 + tw³ × d / 12</v>
      </c>
      <c r="G744" s="16" t="s">
        <v>50</v>
      </c>
      <c r="H744" s="4" t="str">
        <f ca="1">[1]!xlv(H746)</f>
        <v>Iᵧ + Iₓ</v>
      </c>
    </row>
    <row r="745" spans="1:9" ht="15" x14ac:dyDescent="0.3">
      <c r="B745" s="32" t="s">
        <v>45</v>
      </c>
      <c r="C745" s="4" t="str">
        <f>[1]!xln(C746)</f>
        <v>10³ × 0.25 / 6 + 0.25³ × 10 / 12</v>
      </c>
      <c r="G745" s="16" t="s">
        <v>50</v>
      </c>
      <c r="H745" s="4" t="str">
        <f>[1]!xln(H746)</f>
        <v>41.7 + 152</v>
      </c>
    </row>
    <row r="746" spans="1:9" ht="15" x14ac:dyDescent="0.3">
      <c r="B746" s="32" t="s">
        <v>45</v>
      </c>
      <c r="C746" s="38">
        <f>C721^3*C723/6+C724^3*C722/12</f>
        <v>41.6796875</v>
      </c>
      <c r="D746" s="18" t="s">
        <v>42</v>
      </c>
      <c r="G746" s="16" t="s">
        <v>50</v>
      </c>
      <c r="H746" s="17">
        <f>C746+C742</f>
        <v>193.8671875</v>
      </c>
      <c r="I746" s="18" t="s">
        <v>42</v>
      </c>
    </row>
    <row r="748" spans="1:9" x14ac:dyDescent="0.3">
      <c r="B748" s="31" t="s">
        <v>111</v>
      </c>
    </row>
    <row r="749" spans="1:9" x14ac:dyDescent="0.3">
      <c r="A749" s="11"/>
      <c r="B749" s="16" t="s">
        <v>72</v>
      </c>
      <c r="C749" s="87" t="str">
        <f ca="1">[1]!xlv(C751)</f>
        <v>tw × d² / 4 + b × t × (d + t)</v>
      </c>
      <c r="D749" s="87"/>
      <c r="E749" s="87"/>
      <c r="F749" s="87"/>
      <c r="G749" s="32" t="s">
        <v>73</v>
      </c>
      <c r="H749" s="4" t="str">
        <f ca="1">[1]!xlv(H751)</f>
        <v>b² × t / 2 + tw² × d / 4</v>
      </c>
    </row>
    <row r="750" spans="1:9" x14ac:dyDescent="0.3">
      <c r="A750" s="11"/>
      <c r="B750" s="16" t="s">
        <v>72</v>
      </c>
      <c r="C750" s="87" t="str">
        <f>[1]!xln(C751)</f>
        <v>0.25 × 10² / 4 + 10 × 0.25 × (10 + 0.25)</v>
      </c>
      <c r="D750" s="87"/>
      <c r="E750" s="87"/>
      <c r="F750" s="87"/>
      <c r="G750" s="32" t="s">
        <v>73</v>
      </c>
      <c r="H750" s="4" t="str">
        <f>[1]!xln(H751)</f>
        <v>10² × 0.25 / 2 + 0.25² × 10 / 4</v>
      </c>
    </row>
    <row r="751" spans="1:9" x14ac:dyDescent="0.3">
      <c r="B751" s="16" t="s">
        <v>72</v>
      </c>
      <c r="C751" s="87">
        <f>C724*C722^2/4+C721*C723*(C722+C723)</f>
        <v>31.875</v>
      </c>
      <c r="D751" s="87" t="s">
        <v>33</v>
      </c>
      <c r="E751" s="87"/>
      <c r="F751" s="87"/>
      <c r="G751" s="43" t="s">
        <v>73</v>
      </c>
      <c r="H751" s="22">
        <f>C721^2*C723/2+C724^2*C722/4</f>
        <v>12.65625</v>
      </c>
      <c r="I751" s="4" t="s">
        <v>33</v>
      </c>
    </row>
    <row r="752" spans="1:9" x14ac:dyDescent="0.3">
      <c r="C752" s="87"/>
      <c r="D752" s="87"/>
      <c r="E752" s="87"/>
      <c r="F752" s="87"/>
      <c r="G752" s="87"/>
      <c r="H752" s="87"/>
      <c r="I752" s="87"/>
    </row>
    <row r="753" spans="1:185" x14ac:dyDescent="0.3">
      <c r="B753" s="31" t="s">
        <v>115</v>
      </c>
    </row>
    <row r="754" spans="1:185" x14ac:dyDescent="0.3">
      <c r="B754" s="16" t="s">
        <v>80</v>
      </c>
      <c r="C754" s="87" t="str">
        <f ca="1">[1]!xlv(C756)</f>
        <v>Zₓ × ẏ / Iₓ</v>
      </c>
      <c r="D754" s="87"/>
      <c r="G754" s="89" t="s">
        <v>82</v>
      </c>
      <c r="H754" s="87" t="str">
        <f ca="1">[1]!xlv(H756)</f>
        <v>Zᵧ × ẋ / Iᵧ</v>
      </c>
      <c r="I754" s="38"/>
    </row>
    <row r="755" spans="1:185" x14ac:dyDescent="0.3">
      <c r="B755" s="16" t="s">
        <v>80</v>
      </c>
      <c r="C755" s="87" t="str">
        <f>[1]!xln(C756)</f>
        <v>31.9 × 5.25 / 152</v>
      </c>
      <c r="D755" s="87"/>
      <c r="G755" s="89" t="s">
        <v>82</v>
      </c>
      <c r="H755" s="87" t="str">
        <f>[1]!xln(H756)</f>
        <v>12.7 × 5 / 41.7</v>
      </c>
      <c r="I755" s="38"/>
    </row>
    <row r="756" spans="1:185" x14ac:dyDescent="0.3">
      <c r="B756" s="16" t="s">
        <v>80</v>
      </c>
      <c r="C756" s="87">
        <f>C751*C737/C742</f>
        <v>1.0995893223819302</v>
      </c>
      <c r="D756" s="87"/>
      <c r="G756" s="89" t="s">
        <v>82</v>
      </c>
      <c r="H756" s="87">
        <f>H751*C734/C746</f>
        <v>1.5182755388940956</v>
      </c>
      <c r="I756" s="38"/>
    </row>
    <row r="758" spans="1:185" x14ac:dyDescent="0.3">
      <c r="B758" s="16"/>
      <c r="C758" s="87"/>
      <c r="D758" s="87"/>
      <c r="E758" s="87"/>
      <c r="F758" s="87"/>
    </row>
    <row r="759" spans="1:185" x14ac:dyDescent="0.3">
      <c r="C759" s="87"/>
      <c r="D759" s="87"/>
      <c r="E759" s="87"/>
      <c r="F759" s="87"/>
    </row>
    <row r="760" spans="1:185" x14ac:dyDescent="0.3">
      <c r="E760" s="87"/>
      <c r="F760" s="87"/>
    </row>
    <row r="761" spans="1:185" x14ac:dyDescent="0.3">
      <c r="E761" s="87"/>
      <c r="F761" s="87"/>
    </row>
    <row r="762" spans="1:185" x14ac:dyDescent="0.3">
      <c r="E762" s="87"/>
      <c r="F762" s="87"/>
    </row>
    <row r="763" spans="1:185" x14ac:dyDescent="0.3">
      <c r="A763" s="12"/>
      <c r="B763" s="3"/>
      <c r="C763" s="74"/>
      <c r="D763" s="12"/>
      <c r="E763" s="12"/>
      <c r="F763" s="12"/>
      <c r="G763" s="74"/>
      <c r="H763" s="12"/>
      <c r="I763" s="12"/>
      <c r="J763" s="12"/>
      <c r="K763" s="12"/>
    </row>
    <row r="764" spans="1:185" x14ac:dyDescent="0.3">
      <c r="A764" s="12"/>
      <c r="B764" s="75"/>
      <c r="C764" s="74"/>
      <c r="D764" s="76"/>
      <c r="E764" s="76"/>
      <c r="F764" s="77" t="s">
        <v>105</v>
      </c>
      <c r="G764" s="74"/>
      <c r="H764" s="76"/>
      <c r="I764" s="76"/>
      <c r="J764" s="76"/>
      <c r="K764" s="12"/>
    </row>
    <row r="765" spans="1:185" x14ac:dyDescent="0.3">
      <c r="A765" s="12"/>
      <c r="B765" s="76"/>
      <c r="C765" s="76"/>
      <c r="D765" s="76"/>
      <c r="E765" s="76"/>
      <c r="F765" s="104" t="s">
        <v>106</v>
      </c>
      <c r="G765" s="76"/>
      <c r="H765" s="76"/>
      <c r="I765" s="76"/>
      <c r="J765" s="76"/>
      <c r="K765" s="12"/>
    </row>
    <row r="766" spans="1:185" x14ac:dyDescent="0.3">
      <c r="A766" s="57"/>
      <c r="B766" s="48"/>
      <c r="C766" s="48"/>
      <c r="D766" s="48"/>
      <c r="E766" s="50" t="s">
        <v>5</v>
      </c>
      <c r="F766" s="51" t="str">
        <f>$C$1</f>
        <v>R. Abbott</v>
      </c>
      <c r="G766" s="48"/>
      <c r="H766" s="58"/>
      <c r="I766" s="50" t="s">
        <v>10</v>
      </c>
      <c r="J766" s="59" t="str">
        <f>$G$2</f>
        <v>AA-SM-001-000</v>
      </c>
      <c r="K766" s="60"/>
      <c r="L766" s="61"/>
      <c r="M766" s="52"/>
      <c r="N766" s="52"/>
      <c r="O766" s="52"/>
      <c r="P766" s="5"/>
      <c r="AD766" s="8"/>
    </row>
    <row r="767" spans="1:185" s="10" customFormat="1" x14ac:dyDescent="0.3">
      <c r="A767" s="48"/>
      <c r="B767" s="48"/>
      <c r="C767" s="48"/>
      <c r="D767" s="48"/>
      <c r="E767" s="50" t="s">
        <v>6</v>
      </c>
      <c r="F767" s="58" t="str">
        <f>$C$2</f>
        <v xml:space="preserve"> </v>
      </c>
      <c r="G767" s="48"/>
      <c r="H767" s="58"/>
      <c r="I767" s="50" t="s">
        <v>11</v>
      </c>
      <c r="J767" s="60" t="str">
        <f>$G$3</f>
        <v>B</v>
      </c>
      <c r="K767" s="60"/>
      <c r="L767" s="61"/>
      <c r="M767" s="52">
        <v>1</v>
      </c>
      <c r="N767" s="52"/>
      <c r="O767" s="52"/>
      <c r="P767" s="5"/>
      <c r="Q767" s="9"/>
      <c r="R767" s="7"/>
      <c r="S767" s="7"/>
      <c r="T767" s="2"/>
      <c r="U767" s="2"/>
      <c r="V767" s="2"/>
      <c r="W767" s="2"/>
      <c r="X767" s="2"/>
      <c r="Y767" s="2"/>
      <c r="Z767" s="2"/>
      <c r="AA767" s="2"/>
      <c r="AB767" s="2"/>
      <c r="AC767" s="2"/>
      <c r="AD767" s="2"/>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row>
    <row r="768" spans="1:185" x14ac:dyDescent="0.3">
      <c r="A768" s="48"/>
      <c r="B768" s="48"/>
      <c r="C768" s="48"/>
      <c r="D768" s="48"/>
      <c r="E768" s="50" t="s">
        <v>1</v>
      </c>
      <c r="F768" s="58" t="str">
        <f>$C$3</f>
        <v>20/10/2013</v>
      </c>
      <c r="G768" s="48"/>
      <c r="H768" s="58"/>
      <c r="I768" s="50" t="s">
        <v>12</v>
      </c>
      <c r="J768" s="51" t="str">
        <f>L768&amp;" of "&amp;$G$1</f>
        <v>15 of 16</v>
      </c>
      <c r="K768" s="58"/>
      <c r="L768" s="61">
        <f>SUM($M$1:M767)</f>
        <v>15</v>
      </c>
      <c r="M768" s="52"/>
      <c r="N768" s="52"/>
      <c r="O768" s="52"/>
      <c r="P768" s="5"/>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row>
    <row r="769" spans="1:185" x14ac:dyDescent="0.3">
      <c r="A769" s="48"/>
      <c r="B769" s="48"/>
      <c r="C769" s="48"/>
      <c r="D769" s="48"/>
      <c r="E769" s="50" t="s">
        <v>63</v>
      </c>
      <c r="F769" s="58" t="str">
        <f>$C$5</f>
        <v>STANDARD SPREADSHEET METHOD</v>
      </c>
      <c r="G769" s="48"/>
      <c r="H769" s="48"/>
      <c r="I769" s="62"/>
      <c r="J769" s="51"/>
      <c r="K769" s="48"/>
      <c r="L769" s="48"/>
      <c r="M769" s="52"/>
      <c r="N769" s="52"/>
      <c r="O769" s="52"/>
      <c r="P769" s="5"/>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row>
    <row r="770" spans="1:185" ht="15.6" x14ac:dyDescent="0.3">
      <c r="A770" s="12"/>
      <c r="B770" s="64" t="str">
        <f>$G$4</f>
        <v>SECTION PROPERTIES</v>
      </c>
      <c r="C770" s="12"/>
      <c r="D770" s="12"/>
      <c r="E770" s="12"/>
      <c r="F770" s="12"/>
      <c r="G770" s="12"/>
      <c r="H770" s="12"/>
      <c r="I770" s="12"/>
      <c r="J770" s="12"/>
      <c r="K770" s="1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row>
    <row r="771" spans="1:185" x14ac:dyDescent="0.3">
      <c r="A771" s="44"/>
      <c r="B771" s="11" t="s">
        <v>124</v>
      </c>
      <c r="C771" s="44"/>
      <c r="D771" s="44"/>
      <c r="E771" s="44"/>
    </row>
    <row r="772" spans="1:185" x14ac:dyDescent="0.3">
      <c r="A772" s="11"/>
      <c r="C772" s="11"/>
      <c r="D772" s="15"/>
      <c r="E772" s="11"/>
      <c r="F772" s="11"/>
      <c r="G772" s="11"/>
      <c r="H772" s="11"/>
      <c r="I772" s="11"/>
      <c r="J772" s="11"/>
      <c r="K772" s="11"/>
    </row>
    <row r="774" spans="1:185" x14ac:dyDescent="0.3">
      <c r="A774" s="30"/>
      <c r="B774" s="16" t="s">
        <v>48</v>
      </c>
      <c r="C774" s="20">
        <v>10</v>
      </c>
      <c r="D774" s="18" t="s">
        <v>4</v>
      </c>
      <c r="I774" s="34" t="s">
        <v>36</v>
      </c>
      <c r="U774" s="2" t="s">
        <v>77</v>
      </c>
    </row>
    <row r="775" spans="1:185" x14ac:dyDescent="0.3">
      <c r="A775" s="18"/>
      <c r="B775" s="32" t="s">
        <v>49</v>
      </c>
      <c r="C775" s="88">
        <v>0.25</v>
      </c>
      <c r="D775" s="4" t="s">
        <v>4</v>
      </c>
      <c r="E775" s="18"/>
      <c r="F775" s="18"/>
      <c r="G775" s="18"/>
      <c r="I775" s="16" t="s">
        <v>46</v>
      </c>
      <c r="J775" s="4" t="str">
        <f ca="1">[1]!xlv(J777)</f>
        <v>(Iₓ / A)⁰·⁵</v>
      </c>
    </row>
    <row r="776" spans="1:185" x14ac:dyDescent="0.3">
      <c r="A776" s="18"/>
      <c r="B776" s="32" t="s">
        <v>37</v>
      </c>
      <c r="C776" s="87" t="str">
        <f ca="1">[1]!xlv(C777)</f>
        <v>a - t</v>
      </c>
      <c r="I776" s="16" t="s">
        <v>46</v>
      </c>
      <c r="J776" s="4" t="str">
        <f>[1]!xln(J777)</f>
        <v>(20.1 / 4.94)⁰·⁵</v>
      </c>
      <c r="U776" s="42"/>
    </row>
    <row r="777" spans="1:185" x14ac:dyDescent="0.3">
      <c r="A777" s="18"/>
      <c r="B777" s="32" t="s">
        <v>37</v>
      </c>
      <c r="C777" s="88">
        <f>C774-C775</f>
        <v>9.75</v>
      </c>
      <c r="D777" s="4" t="s">
        <v>4</v>
      </c>
      <c r="I777" s="16" t="s">
        <v>46</v>
      </c>
      <c r="J777" s="35">
        <f>(C795/C784)^0.5</f>
        <v>2.017340116436166</v>
      </c>
      <c r="K777" s="18" t="s">
        <v>4</v>
      </c>
    </row>
    <row r="778" spans="1:185" x14ac:dyDescent="0.3">
      <c r="A778" s="18"/>
      <c r="B778" s="32"/>
      <c r="C778" s="33"/>
    </row>
    <row r="779" spans="1:185" x14ac:dyDescent="0.3">
      <c r="A779" s="18"/>
      <c r="B779" s="18"/>
      <c r="I779" s="16" t="s">
        <v>47</v>
      </c>
      <c r="J779" s="4" t="str">
        <f ca="1">[1]!xlv(J781)</f>
        <v>(Iᵧ / A)⁰·⁵</v>
      </c>
      <c r="U779" s="42"/>
    </row>
    <row r="780" spans="1:185" x14ac:dyDescent="0.3">
      <c r="A780" s="18"/>
      <c r="I780" s="16" t="s">
        <v>47</v>
      </c>
      <c r="J780" s="4" t="str">
        <f>[1]!xln(J781)</f>
        <v>(80.3 / 4.94)⁰·⁵</v>
      </c>
    </row>
    <row r="781" spans="1:185" x14ac:dyDescent="0.3">
      <c r="A781" s="11"/>
      <c r="B781" s="31" t="s">
        <v>28</v>
      </c>
      <c r="I781" s="16" t="s">
        <v>47</v>
      </c>
      <c r="J781" s="22">
        <f>(C799/C784)^0.5</f>
        <v>4.0317748366362585</v>
      </c>
      <c r="K781" s="18" t="s">
        <v>4</v>
      </c>
    </row>
    <row r="782" spans="1:185" x14ac:dyDescent="0.3">
      <c r="B782" s="16" t="s">
        <v>31</v>
      </c>
      <c r="C782" s="4" t="str">
        <f ca="1">[1]!xlv(C784)</f>
        <v>t × (2 × a - t)</v>
      </c>
    </row>
    <row r="783" spans="1:185" x14ac:dyDescent="0.3">
      <c r="B783" s="16" t="s">
        <v>31</v>
      </c>
      <c r="C783" s="4" t="str">
        <f>[1]!xln(C784)</f>
        <v>0.25 × (2 × 10 - 0.25)</v>
      </c>
      <c r="D783" s="11"/>
    </row>
    <row r="784" spans="1:185" x14ac:dyDescent="0.3">
      <c r="B784" s="16" t="s">
        <v>31</v>
      </c>
      <c r="C784" s="17">
        <f>C775*(2*C774-C775)</f>
        <v>4.9375</v>
      </c>
      <c r="D784" s="18" t="s">
        <v>41</v>
      </c>
    </row>
    <row r="786" spans="2:21" x14ac:dyDescent="0.3">
      <c r="B786" s="31" t="s">
        <v>74</v>
      </c>
      <c r="U786" s="42"/>
    </row>
    <row r="787" spans="2:21" x14ac:dyDescent="0.3">
      <c r="B787" s="32" t="s">
        <v>24</v>
      </c>
      <c r="C787" s="22">
        <f>0.7071*C774</f>
        <v>7.0709999999999997</v>
      </c>
      <c r="D787" s="4" t="s">
        <v>4</v>
      </c>
    </row>
    <row r="788" spans="2:21" x14ac:dyDescent="0.3">
      <c r="B788" s="32" t="s">
        <v>88</v>
      </c>
      <c r="C788" s="4" t="str">
        <f ca="1">[1]!xlv(C790)</f>
        <v>0.707 × (a² + a × t - t²) / (2 × a - t)</v>
      </c>
      <c r="H788" s="32" t="s">
        <v>87</v>
      </c>
      <c r="I788" s="4" t="str">
        <f ca="1">[1]!xlv(I790)</f>
        <v>0.707 × a² / (2 × a - t)</v>
      </c>
    </row>
    <row r="789" spans="2:21" x14ac:dyDescent="0.3">
      <c r="B789" s="32" t="s">
        <v>88</v>
      </c>
      <c r="C789" s="4" t="str">
        <f>[1]!xln(C790)</f>
        <v>0.707 × (10² + 10 × 0.25 - 0.25²) / (2 × 10 - 0.25)</v>
      </c>
      <c r="H789" s="32" t="s">
        <v>87</v>
      </c>
      <c r="I789" s="4" t="str">
        <f>[1]!xln(I790)</f>
        <v>0.707 × 10² / (2 × 10 - 0.25)</v>
      </c>
    </row>
    <row r="790" spans="2:21" x14ac:dyDescent="0.3">
      <c r="B790" s="32" t="s">
        <v>88</v>
      </c>
      <c r="C790" s="22">
        <f>0.7071*(C774^2+C774*C775-C775^2)/(2*C774-C775)</f>
        <v>3.6675218354430377</v>
      </c>
      <c r="D790" s="4" t="s">
        <v>4</v>
      </c>
      <c r="H790" s="32" t="s">
        <v>87</v>
      </c>
      <c r="I790" s="22">
        <f>0.7071*C774^2/(2*C774-C775)</f>
        <v>3.5802531645569617</v>
      </c>
      <c r="J790" s="4" t="s">
        <v>4</v>
      </c>
    </row>
    <row r="792" spans="2:21" x14ac:dyDescent="0.3">
      <c r="B792" s="31" t="s">
        <v>110</v>
      </c>
    </row>
    <row r="793" spans="2:21" x14ac:dyDescent="0.3">
      <c r="B793" s="16" t="s">
        <v>44</v>
      </c>
      <c r="C793" s="4" t="str">
        <f ca="1">[1]!xlv(C795)</f>
        <v>(a⁴ - b⁴) / 12 - (0.5 × t × a² × b²) / (a + b)</v>
      </c>
    </row>
    <row r="794" spans="2:21" x14ac:dyDescent="0.3">
      <c r="B794" s="16" t="s">
        <v>44</v>
      </c>
      <c r="C794" s="4" t="str">
        <f>[1]!xln(C795)</f>
        <v>(10⁴ - 9.75⁴) / 12 - (0.5 × 0.25 × 10² × 9.75²) / (10 + 9.75)</v>
      </c>
    </row>
    <row r="795" spans="2:21" x14ac:dyDescent="0.3">
      <c r="B795" s="16" t="s">
        <v>44</v>
      </c>
      <c r="C795" s="17">
        <f>(C774^4-C777^4)/12-(0.5*C775*C774^2*C777^2)/(C774+C777)</f>
        <v>20.093951905326996</v>
      </c>
      <c r="D795" s="18" t="s">
        <v>42</v>
      </c>
    </row>
    <row r="797" spans="2:21" ht="15" x14ac:dyDescent="0.3">
      <c r="B797" s="32" t="s">
        <v>45</v>
      </c>
      <c r="C797" s="4" t="str">
        <f ca="1">[1]!xlv(C799)</f>
        <v>(a⁴ - b⁴) / 12</v>
      </c>
      <c r="G797" s="16" t="s">
        <v>50</v>
      </c>
      <c r="H797" s="4" t="str">
        <f ca="1">[1]!xlv(H799)</f>
        <v>Iᵧ + Iₓ</v>
      </c>
    </row>
    <row r="798" spans="2:21" ht="15" x14ac:dyDescent="0.3">
      <c r="B798" s="32" t="s">
        <v>45</v>
      </c>
      <c r="C798" s="4" t="str">
        <f>[1]!xln(C799)</f>
        <v>(10⁴ - 9.75⁴) / 12</v>
      </c>
      <c r="G798" s="16" t="s">
        <v>50</v>
      </c>
      <c r="H798" s="4" t="str">
        <f>[1]!xln(H799)</f>
        <v>80.3 + 20.1</v>
      </c>
    </row>
    <row r="799" spans="2:21" ht="15" x14ac:dyDescent="0.3">
      <c r="B799" s="32" t="s">
        <v>45</v>
      </c>
      <c r="C799" s="38">
        <f>(C774^4-C777^4)/12</f>
        <v>80.260091145833329</v>
      </c>
      <c r="D799" s="18" t="s">
        <v>42</v>
      </c>
      <c r="G799" s="16" t="s">
        <v>50</v>
      </c>
      <c r="H799" s="17">
        <f>C799+C795</f>
        <v>100.35404305116032</v>
      </c>
      <c r="I799" s="18" t="s">
        <v>42</v>
      </c>
    </row>
    <row r="801" spans="1:11" x14ac:dyDescent="0.3">
      <c r="B801" s="31" t="s">
        <v>111</v>
      </c>
    </row>
    <row r="802" spans="1:11" x14ac:dyDescent="0.3">
      <c r="B802" s="4" t="s">
        <v>90</v>
      </c>
      <c r="G802" s="4" t="s">
        <v>91</v>
      </c>
    </row>
    <row r="803" spans="1:11" x14ac:dyDescent="0.3">
      <c r="A803" s="11"/>
      <c r="B803" s="16" t="s">
        <v>89</v>
      </c>
      <c r="C803" s="87" t="str">
        <f ca="1">[1]!xlv(C805)</f>
        <v>a × (t / a - (t / a)² / 2)⁰·⁵</v>
      </c>
      <c r="D803" s="87"/>
      <c r="E803" s="87"/>
      <c r="F803" s="87"/>
      <c r="G803" s="16" t="s">
        <v>89</v>
      </c>
      <c r="H803" s="87" t="str">
        <f ca="1">[1]!xlv(H805)</f>
        <v>0.354 × (a + 1.5 × t)</v>
      </c>
      <c r="I803" s="87"/>
      <c r="J803" s="87"/>
    </row>
    <row r="804" spans="1:11" x14ac:dyDescent="0.3">
      <c r="A804" s="11"/>
      <c r="B804" s="16" t="s">
        <v>89</v>
      </c>
      <c r="C804" s="87" t="str">
        <f>[1]!xln(C805)</f>
        <v>10 × (0.25 / 10 - (0.25 / 10)² / 2)⁰·⁵</v>
      </c>
      <c r="D804" s="87"/>
      <c r="E804" s="87"/>
      <c r="F804" s="87"/>
      <c r="G804" s="16" t="s">
        <v>89</v>
      </c>
      <c r="H804" s="87" t="str">
        <f>[1]!xln(H805)</f>
        <v>0.354 × (10 + 1.5 × 0.25)</v>
      </c>
      <c r="I804" s="87"/>
      <c r="J804" s="87"/>
    </row>
    <row r="805" spans="1:11" x14ac:dyDescent="0.3">
      <c r="B805" s="16" t="s">
        <v>89</v>
      </c>
      <c r="C805" s="87">
        <f>C774*(C775/C774-(C775/C774)^2/2)^0.5</f>
        <v>1.5712256362470669</v>
      </c>
      <c r="D805" s="87" t="s">
        <v>4</v>
      </c>
      <c r="E805" s="87"/>
      <c r="F805" s="87"/>
      <c r="G805" s="16" t="s">
        <v>89</v>
      </c>
      <c r="H805" s="87">
        <f>0.3536*(C774+1.5*C775)</f>
        <v>3.6686000000000001</v>
      </c>
      <c r="I805" s="87" t="s">
        <v>4</v>
      </c>
      <c r="J805" s="87"/>
    </row>
    <row r="806" spans="1:11" x14ac:dyDescent="0.3">
      <c r="B806" s="4" t="s">
        <v>93</v>
      </c>
      <c r="G806" s="4" t="s">
        <v>93</v>
      </c>
    </row>
    <row r="807" spans="1:11" x14ac:dyDescent="0.3">
      <c r="B807" s="16" t="s">
        <v>72</v>
      </c>
      <c r="C807" s="87" t="str">
        <f ca="1">[1]!xlv(C809)</f>
        <v>A × (ẏ₁ - 0.667 × yp)</v>
      </c>
      <c r="D807" s="87"/>
      <c r="E807" s="87"/>
      <c r="F807" s="87"/>
      <c r="G807" s="32" t="s">
        <v>73</v>
      </c>
      <c r="H807" s="4" t="str">
        <f ca="1">[1]!xlv(H809)</f>
        <v>A × ẏ₁ - 2.83 × yp² × t + 1.89 × t³</v>
      </c>
    </row>
    <row r="808" spans="1:11" x14ac:dyDescent="0.3">
      <c r="B808" s="16" t="s">
        <v>72</v>
      </c>
      <c r="C808" s="87" t="str">
        <f>[1]!xln(C809)</f>
        <v>4.94 × (3.67 - 0.667 × 3.67)</v>
      </c>
      <c r="D808" s="87"/>
      <c r="E808" s="87"/>
      <c r="F808" s="87"/>
      <c r="G808" s="32" t="s">
        <v>73</v>
      </c>
      <c r="H808" s="4" t="str">
        <f>[1]!xln(H809)</f>
        <v>4.94 × 3.67 - 2.83 × 3.67² × 0.25 + 1.89 × 0.25³</v>
      </c>
    </row>
    <row r="809" spans="1:11" x14ac:dyDescent="0.3">
      <c r="B809" s="16" t="s">
        <v>72</v>
      </c>
      <c r="C809" s="87">
        <f>C784*(C790-0.6667*C812)</f>
        <v>6.031976938749998</v>
      </c>
      <c r="D809" s="87" t="s">
        <v>33</v>
      </c>
      <c r="E809" s="87"/>
      <c r="F809" s="87"/>
      <c r="G809" s="32" t="s">
        <v>73</v>
      </c>
      <c r="H809" s="22">
        <f>C784*C790-2.82884*H805^2*C775+1.8856*C775^3</f>
        <v>8.6197766973283976</v>
      </c>
      <c r="I809" s="4" t="s">
        <v>33</v>
      </c>
    </row>
    <row r="811" spans="1:11" x14ac:dyDescent="0.3">
      <c r="B811" s="32" t="s">
        <v>92</v>
      </c>
      <c r="C811" s="4">
        <f>C775/C774</f>
        <v>2.5000000000000001E-2</v>
      </c>
    </row>
    <row r="812" spans="1:11" x14ac:dyDescent="0.3">
      <c r="B812" s="16" t="s">
        <v>89</v>
      </c>
      <c r="C812" s="87">
        <f>IF(C811&gt;0.4,C805,H805)</f>
        <v>3.6686000000000001</v>
      </c>
      <c r="D812" s="87" t="s">
        <v>4</v>
      </c>
    </row>
    <row r="813" spans="1:11" x14ac:dyDescent="0.3">
      <c r="B813" s="16" t="s">
        <v>72</v>
      </c>
      <c r="C813" s="87">
        <f>IF(C811&gt;0.4,C809,H809)</f>
        <v>8.6197766973283976</v>
      </c>
      <c r="D813" s="4" t="s">
        <v>33</v>
      </c>
      <c r="G813" s="89"/>
      <c r="H813" s="87"/>
      <c r="I813" s="38"/>
    </row>
    <row r="814" spans="1:11" x14ac:dyDescent="0.3">
      <c r="E814" s="87"/>
      <c r="F814" s="87"/>
    </row>
    <row r="815" spans="1:11" x14ac:dyDescent="0.3">
      <c r="E815" s="87"/>
      <c r="F815" s="87"/>
    </row>
    <row r="816" spans="1:11" x14ac:dyDescent="0.3">
      <c r="A816" s="12"/>
      <c r="B816" s="3"/>
      <c r="C816" s="74"/>
      <c r="D816" s="12"/>
      <c r="E816" s="12"/>
      <c r="F816" s="12"/>
      <c r="G816" s="74"/>
      <c r="H816" s="12"/>
      <c r="I816" s="12"/>
      <c r="J816" s="12"/>
      <c r="K816" s="12"/>
    </row>
    <row r="817" spans="1:185" x14ac:dyDescent="0.3">
      <c r="A817" s="12"/>
      <c r="B817" s="75"/>
      <c r="C817" s="74"/>
      <c r="D817" s="76"/>
      <c r="E817" s="76"/>
      <c r="F817" s="77" t="s">
        <v>105</v>
      </c>
      <c r="G817" s="74"/>
      <c r="H817" s="76"/>
      <c r="I817" s="76"/>
      <c r="J817" s="76"/>
      <c r="K817" s="12"/>
    </row>
    <row r="818" spans="1:185" x14ac:dyDescent="0.3">
      <c r="A818" s="12"/>
      <c r="B818" s="76"/>
      <c r="C818" s="76"/>
      <c r="D818" s="76"/>
      <c r="E818" s="76"/>
      <c r="F818" s="104" t="s">
        <v>106</v>
      </c>
      <c r="G818" s="76"/>
      <c r="H818" s="76"/>
      <c r="I818" s="76"/>
      <c r="J818" s="76"/>
      <c r="K818" s="12"/>
    </row>
    <row r="819" spans="1:185" x14ac:dyDescent="0.3">
      <c r="A819" s="57"/>
      <c r="B819" s="48"/>
      <c r="C819" s="48"/>
      <c r="D819" s="48"/>
      <c r="E819" s="50" t="s">
        <v>5</v>
      </c>
      <c r="F819" s="51" t="str">
        <f>$C$1</f>
        <v>R. Abbott</v>
      </c>
      <c r="G819" s="48"/>
      <c r="H819" s="58"/>
      <c r="I819" s="50" t="s">
        <v>10</v>
      </c>
      <c r="J819" s="59" t="str">
        <f>$G$2</f>
        <v>AA-SM-001-000</v>
      </c>
      <c r="K819" s="60"/>
      <c r="L819" s="61"/>
      <c r="M819" s="52"/>
      <c r="N819" s="52"/>
      <c r="O819" s="52"/>
      <c r="P819" s="5"/>
      <c r="AD819" s="8"/>
    </row>
    <row r="820" spans="1:185" s="10" customFormat="1" x14ac:dyDescent="0.3">
      <c r="A820" s="48"/>
      <c r="B820" s="48"/>
      <c r="C820" s="48"/>
      <c r="D820" s="48"/>
      <c r="E820" s="50" t="s">
        <v>6</v>
      </c>
      <c r="F820" s="58" t="str">
        <f>$C$2</f>
        <v xml:space="preserve"> </v>
      </c>
      <c r="G820" s="48"/>
      <c r="H820" s="58"/>
      <c r="I820" s="50" t="s">
        <v>11</v>
      </c>
      <c r="J820" s="60" t="str">
        <f>$G$3</f>
        <v>B</v>
      </c>
      <c r="K820" s="60"/>
      <c r="L820" s="61"/>
      <c r="M820" s="52">
        <v>1</v>
      </c>
      <c r="N820" s="52"/>
      <c r="O820" s="52"/>
      <c r="P820" s="5"/>
      <c r="Q820" s="9"/>
      <c r="R820" s="7"/>
      <c r="S820" s="7"/>
      <c r="T820" s="2"/>
      <c r="U820" s="2"/>
      <c r="V820" s="2"/>
      <c r="W820" s="2"/>
      <c r="X820" s="2"/>
      <c r="Y820" s="2"/>
      <c r="Z820" s="2"/>
      <c r="AA820" s="2"/>
      <c r="AB820" s="2"/>
      <c r="AC820" s="2"/>
      <c r="AD820" s="2"/>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c r="FJ820" s="3"/>
      <c r="FK820" s="3"/>
      <c r="FL820" s="3"/>
      <c r="FM820" s="3"/>
      <c r="FN820" s="3"/>
      <c r="FO820" s="3"/>
    </row>
    <row r="821" spans="1:185" x14ac:dyDescent="0.3">
      <c r="A821" s="48"/>
      <c r="B821" s="48"/>
      <c r="C821" s="48"/>
      <c r="D821" s="48"/>
      <c r="E821" s="50" t="s">
        <v>1</v>
      </c>
      <c r="F821" s="58" t="str">
        <f>$C$3</f>
        <v>20/10/2013</v>
      </c>
      <c r="G821" s="48"/>
      <c r="H821" s="58"/>
      <c r="I821" s="50" t="s">
        <v>12</v>
      </c>
      <c r="J821" s="51" t="str">
        <f>L821&amp;" of "&amp;$G$1</f>
        <v>16 of 16</v>
      </c>
      <c r="K821" s="58"/>
      <c r="L821" s="61">
        <f>SUM($M$1:M820)</f>
        <v>16</v>
      </c>
      <c r="M821" s="52"/>
      <c r="N821" s="52"/>
      <c r="O821" s="52"/>
      <c r="P821" s="5"/>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row>
    <row r="822" spans="1:185" x14ac:dyDescent="0.3">
      <c r="A822" s="48"/>
      <c r="B822" s="48"/>
      <c r="C822" s="48"/>
      <c r="D822" s="48"/>
      <c r="E822" s="50" t="s">
        <v>63</v>
      </c>
      <c r="F822" s="58" t="str">
        <f>$C$5</f>
        <v>STANDARD SPREADSHEET METHOD</v>
      </c>
      <c r="G822" s="48"/>
      <c r="H822" s="48"/>
      <c r="I822" s="62"/>
      <c r="J822" s="51"/>
      <c r="K822" s="48"/>
      <c r="L822" s="48"/>
      <c r="M822" s="52"/>
      <c r="N822" s="52"/>
      <c r="O822" s="52"/>
      <c r="P822" s="5"/>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row>
    <row r="823" spans="1:185" ht="15.6" x14ac:dyDescent="0.3">
      <c r="A823" s="12"/>
      <c r="B823" s="64" t="str">
        <f>$G$4</f>
        <v>SECTION PROPERTIES</v>
      </c>
      <c r="C823" s="12"/>
      <c r="D823" s="12"/>
      <c r="E823" s="12"/>
      <c r="F823" s="12"/>
      <c r="G823" s="12"/>
      <c r="H823" s="12"/>
      <c r="I823" s="12"/>
      <c r="J823" s="12"/>
      <c r="K823" s="1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row>
    <row r="824" spans="1:185" x14ac:dyDescent="0.3">
      <c r="A824" s="44"/>
      <c r="B824" s="11" t="s">
        <v>125</v>
      </c>
      <c r="C824" s="44"/>
      <c r="D824" s="44"/>
      <c r="E824" s="44"/>
    </row>
    <row r="825" spans="1:185" x14ac:dyDescent="0.3">
      <c r="A825" s="11"/>
      <c r="C825" s="11"/>
      <c r="D825" s="15"/>
      <c r="E825" s="11"/>
      <c r="F825" s="11"/>
      <c r="G825" s="11"/>
      <c r="H825" s="11"/>
      <c r="I825" s="11"/>
      <c r="J825" s="11"/>
      <c r="K825" s="11"/>
    </row>
    <row r="827" spans="1:185" x14ac:dyDescent="0.3">
      <c r="A827" s="30"/>
      <c r="B827" s="16" t="s">
        <v>76</v>
      </c>
      <c r="C827" s="20">
        <v>10</v>
      </c>
      <c r="D827" s="18" t="s">
        <v>4</v>
      </c>
      <c r="I827" s="34" t="s">
        <v>36</v>
      </c>
      <c r="U827" s="2" t="s">
        <v>77</v>
      </c>
    </row>
    <row r="828" spans="1:185" x14ac:dyDescent="0.3">
      <c r="A828" s="18"/>
      <c r="B828" s="32" t="s">
        <v>37</v>
      </c>
      <c r="C828" s="88">
        <v>5</v>
      </c>
      <c r="D828" s="4" t="s">
        <v>4</v>
      </c>
      <c r="E828" s="18"/>
      <c r="F828" s="18"/>
      <c r="G828" s="18"/>
      <c r="I828" s="16" t="s">
        <v>46</v>
      </c>
      <c r="J828" s="4" t="str">
        <f ca="1">[1]!xlv(J830)</f>
        <v>(Iₓ / A)⁰·⁵</v>
      </c>
    </row>
    <row r="829" spans="1:185" x14ac:dyDescent="0.3">
      <c r="A829" s="18"/>
      <c r="B829" s="32" t="s">
        <v>49</v>
      </c>
      <c r="C829" s="88">
        <v>0.25</v>
      </c>
      <c r="D829" s="4" t="s">
        <v>4</v>
      </c>
      <c r="I829" s="16" t="s">
        <v>46</v>
      </c>
      <c r="J829" s="4" t="str">
        <f>[1]!xln(J830)</f>
        <v>(40 / 3.69)⁰·⁵</v>
      </c>
      <c r="U829" s="42"/>
    </row>
    <row r="830" spans="1:185" x14ac:dyDescent="0.3">
      <c r="A830" s="18"/>
      <c r="I830" s="16" t="s">
        <v>46</v>
      </c>
      <c r="J830" s="35">
        <f>(C847/C837)^0.5</f>
        <v>3.2924303687293301</v>
      </c>
      <c r="K830" s="18" t="s">
        <v>4</v>
      </c>
    </row>
    <row r="831" spans="1:185" x14ac:dyDescent="0.3">
      <c r="A831" s="18"/>
      <c r="B831" s="32"/>
      <c r="C831" s="33"/>
    </row>
    <row r="832" spans="1:185" x14ac:dyDescent="0.3">
      <c r="A832" s="18"/>
      <c r="B832" s="18"/>
      <c r="I832" s="16" t="s">
        <v>47</v>
      </c>
      <c r="J832" s="4" t="str">
        <f ca="1">[1]!xlv(J834)</f>
        <v>(Iᵧ / A)⁰·⁵</v>
      </c>
      <c r="U832" s="42"/>
    </row>
    <row r="833" spans="1:21" x14ac:dyDescent="0.3">
      <c r="A833" s="18"/>
      <c r="I833" s="16" t="s">
        <v>47</v>
      </c>
      <c r="J833" s="4" t="str">
        <f>[1]!xln(J834)</f>
        <v>(7.28 / 3.69)⁰·⁵</v>
      </c>
    </row>
    <row r="834" spans="1:21" x14ac:dyDescent="0.3">
      <c r="A834" s="11"/>
      <c r="B834" s="31" t="s">
        <v>28</v>
      </c>
      <c r="I834" s="16" t="s">
        <v>47</v>
      </c>
      <c r="J834" s="22">
        <f>(C851/C837)^0.5</f>
        <v>1.4048388908349361</v>
      </c>
      <c r="K834" s="18" t="s">
        <v>4</v>
      </c>
    </row>
    <row r="835" spans="1:21" x14ac:dyDescent="0.3">
      <c r="B835" s="16" t="s">
        <v>31</v>
      </c>
      <c r="C835" s="4" t="str">
        <f ca="1">[1]!xlv(C837)</f>
        <v>t × (d + b - t)</v>
      </c>
    </row>
    <row r="836" spans="1:21" x14ac:dyDescent="0.3">
      <c r="B836" s="16" t="s">
        <v>31</v>
      </c>
      <c r="C836" s="4" t="str">
        <f>[1]!xln(C837)</f>
        <v>0.25 × (10 + 5 - 0.25)</v>
      </c>
      <c r="D836" s="11"/>
    </row>
    <row r="837" spans="1:21" x14ac:dyDescent="0.3">
      <c r="B837" s="16" t="s">
        <v>31</v>
      </c>
      <c r="C837" s="17">
        <f>C829*(C827+C828-C829)</f>
        <v>3.6875</v>
      </c>
      <c r="D837" s="18" t="s">
        <v>41</v>
      </c>
    </row>
    <row r="839" spans="1:21" x14ac:dyDescent="0.3">
      <c r="B839" s="31" t="s">
        <v>74</v>
      </c>
      <c r="U839" s="42"/>
    </row>
    <row r="840" spans="1:21" x14ac:dyDescent="0.3">
      <c r="B840" s="32" t="s">
        <v>24</v>
      </c>
      <c r="C840" s="4" t="str">
        <f ca="1">[1]!xlv(C842)</f>
        <v>(b² + d × t - t²) / (2 × (b + d - t))</v>
      </c>
      <c r="G840" s="32" t="s">
        <v>26</v>
      </c>
      <c r="H840" s="4" t="str">
        <f ca="1">[1]!xlv(H842)</f>
        <v>(d² + b × t - t²) / (2 × (b + d - t))</v>
      </c>
    </row>
    <row r="841" spans="1:21" x14ac:dyDescent="0.3">
      <c r="B841" s="32" t="s">
        <v>24</v>
      </c>
      <c r="C841" s="4" t="str">
        <f>[1]!xln(C842)</f>
        <v>(5² + 10 × 0.25 - 0.25²) / (2 × (5 + 10 - 0.25))</v>
      </c>
      <c r="G841" s="32" t="s">
        <v>26</v>
      </c>
      <c r="H841" s="4" t="str">
        <f>[1]!xln(H842)</f>
        <v>(10² + 5 × 0.25 - 0.25²) / (2 × (5 + 10 - 0.25))</v>
      </c>
    </row>
    <row r="842" spans="1:21" x14ac:dyDescent="0.3">
      <c r="B842" s="32" t="s">
        <v>24</v>
      </c>
      <c r="C842" s="22">
        <f>(C828^2+C827*C829-C829^2)/(2*(C828+C827-C829))</f>
        <v>0.93008474576271183</v>
      </c>
      <c r="D842" s="4" t="s">
        <v>4</v>
      </c>
      <c r="G842" s="32" t="s">
        <v>26</v>
      </c>
      <c r="H842" s="22">
        <f>(C827^2+C828*C829-C829^2)/(2*(C828+C827-C829))</f>
        <v>3.4300847457627119</v>
      </c>
      <c r="I842" s="4" t="s">
        <v>4</v>
      </c>
    </row>
    <row r="843" spans="1:21" x14ac:dyDescent="0.3">
      <c r="H843" s="32"/>
      <c r="I843" s="22"/>
    </row>
    <row r="844" spans="1:21" x14ac:dyDescent="0.3">
      <c r="B844" s="31" t="s">
        <v>110</v>
      </c>
    </row>
    <row r="845" spans="1:21" x14ac:dyDescent="0.3">
      <c r="B845" s="16" t="s">
        <v>44</v>
      </c>
      <c r="C845" s="4" t="str">
        <f ca="1">[1]!xlv(C847)</f>
        <v>(1 / 3) × (b × d³ - (b - t) × (d - t)³) - A × (d - ẏ)²</v>
      </c>
    </row>
    <row r="846" spans="1:21" x14ac:dyDescent="0.3">
      <c r="B846" s="16" t="s">
        <v>44</v>
      </c>
      <c r="C846" s="4" t="str">
        <f>[1]!xln(C847)</f>
        <v>(1 / 3) × (5 × 10³ - (5 - 0.25) × (10 - 0.25)³) - 3.69 × (10 - 3.43)²</v>
      </c>
    </row>
    <row r="847" spans="1:21" x14ac:dyDescent="0.3">
      <c r="B847" s="16" t="s">
        <v>44</v>
      </c>
      <c r="C847" s="17">
        <f>(1/3)*(C828*C827^3-(C828-C829)*(C827-C829)^3)-C837*(C827-H842)^2</f>
        <v>39.972860390183627</v>
      </c>
      <c r="D847" s="18" t="s">
        <v>42</v>
      </c>
    </row>
    <row r="849" spans="1:10" x14ac:dyDescent="0.3">
      <c r="B849" s="32" t="s">
        <v>45</v>
      </c>
      <c r="C849" s="4" t="str">
        <f ca="1">[1]!xlv(C851)</f>
        <v>(1 / 3) × (d × b³ - (d - t) × (b - t)³) - A × (b - ẋ)²</v>
      </c>
    </row>
    <row r="850" spans="1:10" x14ac:dyDescent="0.3">
      <c r="B850" s="32" t="s">
        <v>45</v>
      </c>
      <c r="C850" s="4" t="str">
        <f>[1]!xln(C851)</f>
        <v>(1 / 3) × (10 × 5³ - (10 - 0.25) × (5 - 0.25)³) - 3.69 × (5 - 0.93)²</v>
      </c>
    </row>
    <row r="851" spans="1:10" x14ac:dyDescent="0.3">
      <c r="B851" s="32" t="s">
        <v>45</v>
      </c>
      <c r="C851" s="38">
        <f>(1/3)*(C827*C828^3-(C827-C829)*(C828-C829)^3)-C837*(C828-C842)^2</f>
        <v>7.2775478901836053</v>
      </c>
      <c r="D851" s="18" t="s">
        <v>42</v>
      </c>
    </row>
    <row r="852" spans="1:10" x14ac:dyDescent="0.3">
      <c r="B852" s="16"/>
      <c r="C852" s="87"/>
      <c r="D852" s="87"/>
      <c r="E852" s="87"/>
      <c r="F852" s="87"/>
      <c r="G852" s="16"/>
      <c r="H852" s="87"/>
    </row>
    <row r="853" spans="1:10" ht="15" x14ac:dyDescent="0.3">
      <c r="B853" s="16" t="s">
        <v>50</v>
      </c>
      <c r="C853" s="4" t="str">
        <f ca="1">[1]!xlv(C855)</f>
        <v>Iᵧ + Iₓ</v>
      </c>
      <c r="E853" s="87"/>
      <c r="F853" s="87"/>
      <c r="G853" s="16"/>
      <c r="H853" s="87"/>
    </row>
    <row r="854" spans="1:10" ht="15" x14ac:dyDescent="0.3">
      <c r="B854" s="16" t="s">
        <v>50</v>
      </c>
      <c r="C854" s="4" t="str">
        <f>[1]!xln(C855)</f>
        <v>7.28 + 40</v>
      </c>
      <c r="E854" s="87"/>
      <c r="F854" s="87"/>
      <c r="G854" s="16"/>
      <c r="H854" s="87"/>
    </row>
    <row r="855" spans="1:10" ht="15" x14ac:dyDescent="0.3">
      <c r="B855" s="16" t="s">
        <v>50</v>
      </c>
      <c r="C855" s="17">
        <f>C851+C847</f>
        <v>47.250408280367232</v>
      </c>
      <c r="D855" s="18" t="s">
        <v>42</v>
      </c>
    </row>
    <row r="856" spans="1:10" x14ac:dyDescent="0.3">
      <c r="A856" s="11"/>
      <c r="I856" s="87"/>
      <c r="J856" s="87"/>
    </row>
    <row r="857" spans="1:10" x14ac:dyDescent="0.3">
      <c r="A857" s="11"/>
      <c r="I857" s="87"/>
      <c r="J857" s="87"/>
    </row>
    <row r="858" spans="1:10" x14ac:dyDescent="0.3">
      <c r="I858" s="87"/>
      <c r="J858" s="87"/>
    </row>
    <row r="860" spans="1:10" x14ac:dyDescent="0.3">
      <c r="B860" s="16"/>
      <c r="C860" s="87"/>
      <c r="D860" s="87"/>
      <c r="E860" s="87"/>
      <c r="F860" s="87"/>
      <c r="G860" s="16"/>
    </row>
    <row r="861" spans="1:10" x14ac:dyDescent="0.3">
      <c r="B861" s="16"/>
      <c r="C861" s="87"/>
      <c r="D861" s="87"/>
      <c r="E861" s="87"/>
      <c r="F861" s="87"/>
      <c r="G861" s="16"/>
    </row>
    <row r="862" spans="1:10" x14ac:dyDescent="0.3">
      <c r="B862" s="16"/>
      <c r="C862" s="87"/>
      <c r="D862" s="87"/>
      <c r="E862" s="87"/>
      <c r="F862" s="87"/>
      <c r="G862" s="16"/>
      <c r="H862" s="22"/>
    </row>
    <row r="864" spans="1:10" x14ac:dyDescent="0.3">
      <c r="B864" s="32"/>
    </row>
    <row r="865" spans="1:11" x14ac:dyDescent="0.3">
      <c r="B865" s="16"/>
      <c r="C865" s="87"/>
      <c r="D865" s="87"/>
    </row>
    <row r="866" spans="1:11" x14ac:dyDescent="0.3">
      <c r="B866" s="16"/>
      <c r="C866" s="87"/>
      <c r="G866" s="89"/>
      <c r="H866" s="87"/>
      <c r="I866" s="38"/>
    </row>
    <row r="867" spans="1:11" x14ac:dyDescent="0.3">
      <c r="E867" s="87"/>
      <c r="F867" s="87"/>
    </row>
    <row r="868" spans="1:11" x14ac:dyDescent="0.3">
      <c r="E868" s="87"/>
      <c r="F868" s="87"/>
    </row>
    <row r="869" spans="1:11" x14ac:dyDescent="0.3">
      <c r="A869" s="12"/>
      <c r="B869" s="3"/>
      <c r="C869" s="74"/>
      <c r="D869" s="12"/>
      <c r="E869" s="12"/>
      <c r="F869" s="12"/>
      <c r="G869" s="74"/>
      <c r="H869" s="12"/>
      <c r="I869" s="12"/>
      <c r="J869" s="12"/>
      <c r="K869" s="12"/>
    </row>
    <row r="870" spans="1:11" x14ac:dyDescent="0.3">
      <c r="A870" s="12"/>
      <c r="B870" s="75"/>
      <c r="C870" s="74"/>
      <c r="D870" s="76"/>
      <c r="E870" s="76"/>
      <c r="F870" s="77" t="s">
        <v>105</v>
      </c>
      <c r="G870" s="74"/>
      <c r="H870" s="76"/>
      <c r="I870" s="76"/>
      <c r="J870" s="76"/>
      <c r="K870" s="12"/>
    </row>
    <row r="871" spans="1:11" x14ac:dyDescent="0.3">
      <c r="A871" s="12"/>
      <c r="B871" s="76"/>
      <c r="C871" s="76"/>
      <c r="D871" s="76"/>
      <c r="E871" s="76"/>
      <c r="F871" s="104" t="s">
        <v>106</v>
      </c>
      <c r="G871" s="76"/>
      <c r="H871" s="76"/>
      <c r="I871" s="76"/>
      <c r="J871" s="76"/>
      <c r="K871" s="12"/>
    </row>
  </sheetData>
  <conditionalFormatting sqref="B41:B43">
    <cfRule type="uniqueValues" dxfId="0" priority="2"/>
  </conditionalFormatting>
  <hyperlinks>
    <hyperlink ref="F60" r:id="rId1"/>
    <hyperlink ref="F113" r:id="rId2"/>
    <hyperlink ref="F166" r:id="rId3"/>
    <hyperlink ref="F657" r:id="rId4"/>
    <hyperlink ref="F712" r:id="rId5"/>
    <hyperlink ref="F765" r:id="rId6"/>
    <hyperlink ref="F818" r:id="rId7"/>
    <hyperlink ref="F871" r:id="rId8"/>
    <hyperlink ref="F602" r:id="rId9"/>
    <hyperlink ref="F549" r:id="rId10"/>
    <hyperlink ref="F276" r:id="rId11"/>
    <hyperlink ref="F331" r:id="rId12"/>
    <hyperlink ref="F386" r:id="rId13"/>
    <hyperlink ref="F441" r:id="rId14"/>
    <hyperlink ref="F496" r:id="rId15"/>
    <hyperlink ref="F221" r:id="rId16"/>
  </hyperlinks>
  <pageMargins left="0.47244094488188981" right="0.23622047244094491" top="0.31496062992125984" bottom="0.98425196850393704" header="0.43307086614173229" footer="0.59055118110236227"/>
  <pageSetup scale="96" orientation="portrait" r:id="rId17"/>
  <headerFooter alignWithMargins="0"/>
  <rowBreaks count="24" manualBreakCount="24">
    <brk id="7" max="10" man="1"/>
    <brk id="60" max="10" man="1"/>
    <brk id="113" max="10" man="1"/>
    <brk id="166" max="10" man="1"/>
    <brk id="221" max="10" man="1"/>
    <brk id="276" max="10" man="1"/>
    <brk id="331" max="10" man="1"/>
    <brk id="386" max="10" man="1"/>
    <brk id="496" max="10" man="1"/>
    <brk id="166" max="10" man="1"/>
    <brk id="549" max="10" man="1"/>
    <brk id="602" max="10" man="1"/>
    <brk id="657" max="10" man="1"/>
    <brk id="712" max="10" man="1"/>
    <brk id="765" max="10" man="1"/>
    <brk id="818" max="10" man="1"/>
    <brk id="549" max="10" man="1"/>
    <brk id="496" max="10" man="1"/>
    <brk id="166" max="10" man="1"/>
    <brk id="221" max="10" man="1"/>
    <brk id="276" max="10" man="1"/>
    <brk id="331" max="10" man="1"/>
    <brk id="386" max="10" man="1"/>
    <brk id="441" max="10"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2016-08-12T00:18:32Z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