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 filterPrivacy="1" codeName="ThisWorkbook"/>
  <xr:revisionPtr revIDLastSave="0" documentId="13_ncr:1_{371ED02D-ED81-4840-820A-FBD36C617335}" xr6:coauthVersionLast="28" xr6:coauthVersionMax="28" xr10:uidLastSave="{00000000-0000-0000-0000-000000000000}"/>
  <bookViews>
    <workbookView xWindow="0" yWindow="0" windowWidth="19770" windowHeight="12210" xr2:uid="{00000000-000D-0000-FFFF-FFFF00000000}"/>
  </bookViews>
  <sheets>
    <sheet name="INPUT AND RESULTS" sheetId="4" r:id="rId1"/>
    <sheet name="CALC" sheetId="1" state="hidden" r:id="rId2"/>
    <sheet name="Sheet1" sheetId="5" state="hidden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5" l="1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2" i="5"/>
  <c r="I2" i="1" l="1"/>
  <c r="E2" i="1"/>
  <c r="D2" i="1"/>
  <c r="N2" i="1"/>
  <c r="B3" i="1"/>
  <c r="D4" i="1" s="1"/>
  <c r="M2" i="1"/>
  <c r="L4" i="1" l="1"/>
  <c r="F4" i="1"/>
  <c r="AA3" i="1"/>
  <c r="AF7" i="1" s="1"/>
  <c r="AF2" i="1"/>
  <c r="N65" i="1"/>
  <c r="M65" i="1"/>
  <c r="L65" i="1"/>
  <c r="K65" i="1"/>
  <c r="J65" i="1"/>
  <c r="I65" i="1"/>
  <c r="H65" i="1"/>
  <c r="G65" i="1"/>
  <c r="F65" i="1"/>
  <c r="E65" i="1"/>
  <c r="D65" i="1"/>
  <c r="B1" i="1"/>
  <c r="AF8" i="1"/>
  <c r="AE7" i="1"/>
  <c r="AE8" i="1" l="1"/>
  <c r="K2" i="1"/>
  <c r="G2" i="1"/>
  <c r="AD2" i="1"/>
  <c r="AD3" i="1" s="1"/>
  <c r="K4" i="1" l="1"/>
  <c r="N4" i="1" l="1"/>
  <c r="H4" i="1" l="1"/>
  <c r="J4" i="1"/>
  <c r="I4" i="1"/>
  <c r="E4" i="1"/>
  <c r="J2" i="1" l="1"/>
  <c r="G4" i="1"/>
  <c r="P65" i="1" l="1"/>
  <c r="P60" i="1"/>
  <c r="R7" i="1"/>
  <c r="R15" i="1"/>
  <c r="R23" i="1"/>
  <c r="R31" i="1"/>
  <c r="R39" i="1"/>
  <c r="R47" i="1"/>
  <c r="R55" i="1"/>
  <c r="R63" i="1"/>
  <c r="R44" i="1"/>
  <c r="R29" i="1"/>
  <c r="R30" i="1"/>
  <c r="R8" i="1"/>
  <c r="R16" i="1"/>
  <c r="R24" i="1"/>
  <c r="R32" i="1"/>
  <c r="R40" i="1"/>
  <c r="R48" i="1"/>
  <c r="R56" i="1"/>
  <c r="R59" i="1"/>
  <c r="R28" i="1"/>
  <c r="R60" i="1"/>
  <c r="R37" i="1"/>
  <c r="R22" i="1"/>
  <c r="R62" i="1"/>
  <c r="R9" i="1"/>
  <c r="R17" i="1"/>
  <c r="R25" i="1"/>
  <c r="R33" i="1"/>
  <c r="R41" i="1"/>
  <c r="R49" i="1"/>
  <c r="R57" i="1"/>
  <c r="R51" i="1"/>
  <c r="R36" i="1"/>
  <c r="R13" i="1"/>
  <c r="R53" i="1"/>
  <c r="R38" i="1"/>
  <c r="R54" i="1"/>
  <c r="R10" i="1"/>
  <c r="R18" i="1"/>
  <c r="R26" i="1"/>
  <c r="R34" i="1"/>
  <c r="R42" i="1"/>
  <c r="R50" i="1"/>
  <c r="R58" i="1"/>
  <c r="R12" i="1"/>
  <c r="R52" i="1"/>
  <c r="R45" i="1"/>
  <c r="R14" i="1"/>
  <c r="R11" i="1"/>
  <c r="R19" i="1"/>
  <c r="R27" i="1"/>
  <c r="R35" i="1"/>
  <c r="R43" i="1"/>
  <c r="R20" i="1"/>
  <c r="R21" i="1"/>
  <c r="R61" i="1"/>
  <c r="R46" i="1"/>
  <c r="R65" i="1"/>
  <c r="R6" i="1"/>
  <c r="P63" i="1"/>
  <c r="P62" i="1"/>
  <c r="P61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R3" i="1" l="1"/>
  <c r="R2" i="1"/>
  <c r="P3" i="1"/>
  <c r="P2" i="1"/>
  <c r="S5" i="1" l="1"/>
  <c r="S7" i="1" s="1"/>
  <c r="W7" i="1" s="1"/>
  <c r="Q5" i="1"/>
  <c r="Q65" i="1" s="1"/>
  <c r="V68" i="1" s="1"/>
  <c r="S10" i="1" l="1"/>
  <c r="W52" i="1" s="1"/>
  <c r="S37" i="1"/>
  <c r="W30" i="1" s="1"/>
  <c r="S43" i="1"/>
  <c r="W59" i="1" s="1"/>
  <c r="S23" i="1"/>
  <c r="W19" i="1" s="1"/>
  <c r="S28" i="1"/>
  <c r="W23" i="1" s="1"/>
  <c r="S60" i="1"/>
  <c r="W39" i="1" s="1"/>
  <c r="S58" i="1"/>
  <c r="W50" i="1" s="1"/>
  <c r="S59" i="1"/>
  <c r="W61" i="1" s="1"/>
  <c r="S31" i="1"/>
  <c r="W56" i="1" s="1"/>
  <c r="S54" i="1"/>
  <c r="W49" i="1" s="1"/>
  <c r="S56" i="1"/>
  <c r="W60" i="1" s="1"/>
  <c r="S57" i="1"/>
  <c r="W38" i="1" s="1"/>
  <c r="S24" i="1"/>
  <c r="W55" i="1" s="1"/>
  <c r="S30" i="1"/>
  <c r="W25" i="1" s="1"/>
  <c r="S45" i="1"/>
  <c r="W35" i="1" s="1"/>
  <c r="S61" i="1"/>
  <c r="W62" i="1" s="1"/>
  <c r="S44" i="1"/>
  <c r="W34" i="1" s="1"/>
  <c r="S13" i="1"/>
  <c r="W12" i="1" s="1"/>
  <c r="S22" i="1"/>
  <c r="W18" i="1" s="1"/>
  <c r="S34" i="1"/>
  <c r="W51" i="1" s="1"/>
  <c r="S16" i="1"/>
  <c r="W14" i="1" s="1"/>
  <c r="S27" i="1"/>
  <c r="W22" i="1" s="1"/>
  <c r="S20" i="1"/>
  <c r="W54" i="1" s="1"/>
  <c r="S50" i="1"/>
  <c r="W45" i="1" s="1"/>
  <c r="S26" i="1"/>
  <c r="W21" i="1" s="1"/>
  <c r="S17" i="1"/>
  <c r="W15" i="1" s="1"/>
  <c r="S33" i="1"/>
  <c r="W27" i="1" s="1"/>
  <c r="S21" i="1"/>
  <c r="W64" i="1" s="1"/>
  <c r="S63" i="1"/>
  <c r="W40" i="1" s="1"/>
  <c r="S25" i="1"/>
  <c r="W20" i="1" s="1"/>
  <c r="S49" i="1"/>
  <c r="W44" i="1" s="1"/>
  <c r="S47" i="1"/>
  <c r="W42" i="1" s="1"/>
  <c r="S52" i="1"/>
  <c r="W47" i="1" s="1"/>
  <c r="S8" i="1"/>
  <c r="W8" i="1" s="1"/>
  <c r="S11" i="1"/>
  <c r="W10" i="1" s="1"/>
  <c r="S32" i="1"/>
  <c r="W26" i="1" s="1"/>
  <c r="S35" i="1"/>
  <c r="W28" i="1" s="1"/>
  <c r="S40" i="1"/>
  <c r="W57" i="1" s="1"/>
  <c r="S41" i="1"/>
  <c r="W58" i="1" s="1"/>
  <c r="S38" i="1"/>
  <c r="W31" i="1" s="1"/>
  <c r="S36" i="1"/>
  <c r="W29" i="1" s="1"/>
  <c r="S46" i="1"/>
  <c r="W36" i="1" s="1"/>
  <c r="S18" i="1"/>
  <c r="W16" i="1" s="1"/>
  <c r="S42" i="1"/>
  <c r="W33" i="1" s="1"/>
  <c r="S55" i="1"/>
  <c r="W37" i="1" s="1"/>
  <c r="S15" i="1"/>
  <c r="W66" i="1" s="1"/>
  <c r="S19" i="1"/>
  <c r="W17" i="1" s="1"/>
  <c r="S6" i="1"/>
  <c r="W6" i="1" s="1"/>
  <c r="S12" i="1"/>
  <c r="W11" i="1" s="1"/>
  <c r="S65" i="1"/>
  <c r="W68" i="1" s="1"/>
  <c r="Y68" i="1" s="1"/>
  <c r="S39" i="1"/>
  <c r="W32" i="1" s="1"/>
  <c r="S48" i="1"/>
  <c r="W43" i="1" s="1"/>
  <c r="S14" i="1"/>
  <c r="W13" i="1" s="1"/>
  <c r="S53" i="1"/>
  <c r="W48" i="1" s="1"/>
  <c r="S51" i="1"/>
  <c r="W46" i="1" s="1"/>
  <c r="S9" i="1"/>
  <c r="W9" i="1" s="1"/>
  <c r="S29" i="1"/>
  <c r="W24" i="1" s="1"/>
  <c r="S62" i="1"/>
  <c r="W63" i="1" s="1"/>
  <c r="Q37" i="1"/>
  <c r="V30" i="1" s="1"/>
  <c r="Q9" i="1"/>
  <c r="V9" i="1" s="1"/>
  <c r="U9" i="1" s="1"/>
  <c r="Q8" i="1"/>
  <c r="V8" i="1" s="1"/>
  <c r="U8" i="1" s="1"/>
  <c r="Q14" i="1"/>
  <c r="V13" i="1" s="1"/>
  <c r="Q27" i="1"/>
  <c r="V22" i="1" s="1"/>
  <c r="Q48" i="1"/>
  <c r="V43" i="1" s="1"/>
  <c r="Q31" i="1"/>
  <c r="V56" i="1" s="1"/>
  <c r="Q30" i="1"/>
  <c r="V25" i="1" s="1"/>
  <c r="Q23" i="1"/>
  <c r="V19" i="1" s="1"/>
  <c r="Q19" i="1"/>
  <c r="V17" i="1" s="1"/>
  <c r="Q58" i="1"/>
  <c r="V50" i="1" s="1"/>
  <c r="Q51" i="1"/>
  <c r="V46" i="1" s="1"/>
  <c r="Q40" i="1"/>
  <c r="V57" i="1" s="1"/>
  <c r="Q56" i="1"/>
  <c r="V60" i="1" s="1"/>
  <c r="Q10" i="1"/>
  <c r="V52" i="1" s="1"/>
  <c r="Q52" i="1"/>
  <c r="V47" i="1" s="1"/>
  <c r="Q26" i="1"/>
  <c r="V21" i="1" s="1"/>
  <c r="Q43" i="1"/>
  <c r="V59" i="1" s="1"/>
  <c r="Q29" i="1"/>
  <c r="V24" i="1" s="1"/>
  <c r="Q46" i="1"/>
  <c r="V36" i="1" s="1"/>
  <c r="Q35" i="1"/>
  <c r="V28" i="1" s="1"/>
  <c r="Q53" i="1"/>
  <c r="V48" i="1" s="1"/>
  <c r="Q17" i="1"/>
  <c r="V15" i="1" s="1"/>
  <c r="Q15" i="1"/>
  <c r="V66" i="1" s="1"/>
  <c r="Q41" i="1"/>
  <c r="V58" i="1" s="1"/>
  <c r="Q7" i="1"/>
  <c r="V7" i="1" s="1"/>
  <c r="U7" i="1" s="1"/>
  <c r="Q49" i="1"/>
  <c r="V44" i="1" s="1"/>
  <c r="Q55" i="1"/>
  <c r="V37" i="1" s="1"/>
  <c r="Q38" i="1"/>
  <c r="V31" i="1" s="1"/>
  <c r="Q54" i="1"/>
  <c r="V49" i="1" s="1"/>
  <c r="Q24" i="1"/>
  <c r="V55" i="1" s="1"/>
  <c r="Q25" i="1"/>
  <c r="V20" i="1" s="1"/>
  <c r="Q18" i="1"/>
  <c r="V16" i="1" s="1"/>
  <c r="Q63" i="1"/>
  <c r="V40" i="1" s="1"/>
  <c r="Q11" i="1"/>
  <c r="V10" i="1" s="1"/>
  <c r="Q12" i="1"/>
  <c r="V11" i="1" s="1"/>
  <c r="Q62" i="1"/>
  <c r="V63" i="1" s="1"/>
  <c r="Q28" i="1"/>
  <c r="V23" i="1" s="1"/>
  <c r="Q47" i="1"/>
  <c r="V42" i="1" s="1"/>
  <c r="Q42" i="1"/>
  <c r="V33" i="1" s="1"/>
  <c r="Q22" i="1"/>
  <c r="V18" i="1" s="1"/>
  <c r="Q21" i="1"/>
  <c r="V64" i="1" s="1"/>
  <c r="Q50" i="1"/>
  <c r="V45" i="1" s="1"/>
  <c r="Q16" i="1"/>
  <c r="V14" i="1" s="1"/>
  <c r="Q36" i="1"/>
  <c r="V29" i="1" s="1"/>
  <c r="Q33" i="1"/>
  <c r="V27" i="1" s="1"/>
  <c r="Q61" i="1"/>
  <c r="V62" i="1" s="1"/>
  <c r="Q60" i="1"/>
  <c r="V39" i="1" s="1"/>
  <c r="Q32" i="1"/>
  <c r="V26" i="1" s="1"/>
  <c r="Q59" i="1"/>
  <c r="V61" i="1" s="1"/>
  <c r="Q57" i="1"/>
  <c r="V38" i="1" s="1"/>
  <c r="Q39" i="1"/>
  <c r="V32" i="1" s="1"/>
  <c r="Q20" i="1"/>
  <c r="V54" i="1" s="1"/>
  <c r="Q45" i="1"/>
  <c r="V35" i="1" s="1"/>
  <c r="Q34" i="1"/>
  <c r="V51" i="1" s="1"/>
  <c r="Q13" i="1"/>
  <c r="V12" i="1" s="1"/>
  <c r="Q44" i="1"/>
  <c r="V34" i="1" s="1"/>
  <c r="Q6" i="1"/>
  <c r="V6" i="1" s="1"/>
  <c r="U6" i="1" s="1"/>
  <c r="U10" i="1" l="1"/>
  <c r="U12" i="1"/>
  <c r="U26" i="1"/>
  <c r="U29" i="1"/>
  <c r="U32" i="1"/>
  <c r="U24" i="1"/>
  <c r="U31" i="1"/>
  <c r="U28" i="1"/>
  <c r="Y22" i="1"/>
  <c r="U22" i="1"/>
  <c r="Y14" i="1"/>
  <c r="U14" i="1"/>
  <c r="U11" i="1"/>
  <c r="U37" i="1"/>
  <c r="Y36" i="1"/>
  <c r="U36" i="1"/>
  <c r="U13" i="1"/>
  <c r="Y20" i="1"/>
  <c r="Y25" i="1"/>
  <c r="Y38" i="1"/>
  <c r="U38" i="1"/>
  <c r="U17" i="1"/>
  <c r="U34" i="1"/>
  <c r="U18" i="1"/>
  <c r="U16" i="1"/>
  <c r="U21" i="1"/>
  <c r="U19" i="1"/>
  <c r="Y30" i="1"/>
  <c r="U30" i="1"/>
  <c r="U40" i="1"/>
  <c r="U33" i="1"/>
  <c r="U20" i="1"/>
  <c r="U25" i="1"/>
  <c r="U15" i="1"/>
  <c r="Y24" i="1"/>
  <c r="Y11" i="1"/>
  <c r="Y29" i="1"/>
  <c r="Y21" i="1"/>
  <c r="Y34" i="1"/>
  <c r="U39" i="1"/>
  <c r="U35" i="1"/>
  <c r="U27" i="1"/>
  <c r="U23" i="1"/>
  <c r="Y9" i="1"/>
  <c r="Y31" i="1"/>
  <c r="Y7" i="1"/>
  <c r="Y17" i="1"/>
  <c r="Y35" i="1"/>
  <c r="Y39" i="1"/>
  <c r="Y13" i="1"/>
  <c r="Y37" i="1"/>
  <c r="Y28" i="1"/>
  <c r="Y40" i="1"/>
  <c r="Y23" i="1"/>
  <c r="Y33" i="1"/>
  <c r="Y26" i="1"/>
  <c r="Y19" i="1"/>
  <c r="Y32" i="1"/>
  <c r="Y16" i="1"/>
  <c r="Y10" i="1"/>
  <c r="Y27" i="1"/>
  <c r="Y18" i="1"/>
  <c r="Y8" i="1"/>
  <c r="Y15" i="1"/>
  <c r="Y12" i="1"/>
  <c r="AA60" i="1"/>
  <c r="Y60" i="1"/>
  <c r="AA57" i="1"/>
  <c r="Y57" i="1"/>
  <c r="AA63" i="1"/>
  <c r="Y63" i="1"/>
  <c r="Y61" i="1"/>
  <c r="AA61" i="1"/>
  <c r="AA64" i="1"/>
  <c r="Y64" i="1"/>
  <c r="AA59" i="1"/>
  <c r="Y59" i="1"/>
  <c r="AA54" i="1"/>
  <c r="Y54" i="1"/>
  <c r="AA58" i="1"/>
  <c r="Y58" i="1"/>
  <c r="AA66" i="1"/>
  <c r="Y66" i="1"/>
  <c r="Y62" i="1"/>
  <c r="AA62" i="1"/>
  <c r="Y55" i="1"/>
  <c r="AA55" i="1"/>
  <c r="AA56" i="1"/>
  <c r="Y56" i="1"/>
  <c r="AA68" i="1"/>
  <c r="AB68" i="1" s="1"/>
  <c r="AA11" i="1"/>
  <c r="AA13" i="1"/>
  <c r="Y45" i="1"/>
  <c r="AA45" i="1"/>
  <c r="AA44" i="1"/>
  <c r="Y44" i="1"/>
  <c r="Y50" i="1"/>
  <c r="AA50" i="1"/>
  <c r="AA8" i="1"/>
  <c r="AA46" i="1"/>
  <c r="Y46" i="1"/>
  <c r="AA38" i="1"/>
  <c r="AA10" i="1"/>
  <c r="AA24" i="1"/>
  <c r="AA6" i="1"/>
  <c r="Y6" i="1"/>
  <c r="AA40" i="1"/>
  <c r="AA7" i="1"/>
  <c r="AA17" i="1"/>
  <c r="AA9" i="1"/>
  <c r="AA32" i="1"/>
  <c r="AA26" i="1"/>
  <c r="AA21" i="1"/>
  <c r="AA12" i="1"/>
  <c r="AA33" i="1"/>
  <c r="AA20" i="1"/>
  <c r="AA47" i="1"/>
  <c r="Y47" i="1"/>
  <c r="AA25" i="1"/>
  <c r="AA37" i="1"/>
  <c r="AA34" i="1"/>
  <c r="AA30" i="1"/>
  <c r="AA39" i="1"/>
  <c r="Y51" i="1"/>
  <c r="AA51" i="1"/>
  <c r="Y42" i="1"/>
  <c r="AA42" i="1"/>
  <c r="AA15" i="1"/>
  <c r="Y52" i="1"/>
  <c r="AA52" i="1"/>
  <c r="AA14" i="1"/>
  <c r="AA36" i="1"/>
  <c r="AA16" i="1"/>
  <c r="AA19" i="1"/>
  <c r="AA35" i="1"/>
  <c r="AA27" i="1"/>
  <c r="AA23" i="1"/>
  <c r="AA49" i="1"/>
  <c r="Y49" i="1"/>
  <c r="Y48" i="1"/>
  <c r="AA48" i="1"/>
  <c r="AA43" i="1"/>
  <c r="Y43" i="1"/>
  <c r="AA18" i="1"/>
  <c r="AA29" i="1"/>
  <c r="AA31" i="1"/>
  <c r="AA28" i="1"/>
  <c r="AA22" i="1"/>
  <c r="S2" i="1"/>
  <c r="S3" i="1"/>
  <c r="Q2" i="1"/>
  <c r="Q3" i="1"/>
  <c r="AB64" i="1" l="1"/>
  <c r="AB56" i="1"/>
  <c r="AB58" i="1"/>
  <c r="AB61" i="1"/>
  <c r="AB62" i="1"/>
  <c r="AB54" i="1"/>
  <c r="AB63" i="1"/>
  <c r="AB55" i="1"/>
  <c r="AB59" i="1"/>
  <c r="AB57" i="1"/>
  <c r="AB66" i="1"/>
  <c r="AB60" i="1"/>
  <c r="AB23" i="1"/>
  <c r="AB47" i="1"/>
  <c r="AB8" i="1"/>
  <c r="AB28" i="1"/>
  <c r="AB43" i="1"/>
  <c r="AB34" i="1"/>
  <c r="AB26" i="1"/>
  <c r="AB29" i="1"/>
  <c r="AB19" i="1"/>
  <c r="AB52" i="1"/>
  <c r="AB25" i="1"/>
  <c r="AB12" i="1"/>
  <c r="AB13" i="1"/>
  <c r="AB45" i="1"/>
  <c r="AB31" i="1"/>
  <c r="AB48" i="1"/>
  <c r="AB35" i="1"/>
  <c r="AB40" i="1"/>
  <c r="AB44" i="1"/>
  <c r="AB14" i="1"/>
  <c r="AB51" i="1"/>
  <c r="AB37" i="1"/>
  <c r="AB33" i="1"/>
  <c r="AB32" i="1"/>
  <c r="AB38" i="1"/>
  <c r="AB49" i="1"/>
  <c r="AB39" i="1"/>
  <c r="AB9" i="1"/>
  <c r="AB6" i="1"/>
  <c r="AB46" i="1"/>
  <c r="AB22" i="1"/>
  <c r="AB18" i="1"/>
  <c r="AB16" i="1"/>
  <c r="AB15" i="1"/>
  <c r="AB30" i="1"/>
  <c r="AB21" i="1"/>
  <c r="AB17" i="1"/>
  <c r="AB24" i="1"/>
  <c r="AB27" i="1"/>
  <c r="AB36" i="1"/>
  <c r="AB42" i="1"/>
  <c r="AB20" i="1"/>
  <c r="AB7" i="1"/>
  <c r="AB10" i="1"/>
  <c r="AB50" i="1"/>
  <c r="AB11" i="1"/>
  <c r="AH6" i="1" l="1" a="1"/>
  <c r="AH7" i="1" s="1"/>
  <c r="AI7" i="1" s="1"/>
  <c r="R6" i="5" l="1"/>
  <c r="Q6" i="5"/>
  <c r="AH24" i="1"/>
  <c r="AI24" i="1" s="1"/>
  <c r="AH22" i="1"/>
  <c r="AI22" i="1" s="1"/>
  <c r="AH34" i="1"/>
  <c r="AI34" i="1" s="1"/>
  <c r="AH12" i="1"/>
  <c r="AI12" i="1" s="1"/>
  <c r="AH29" i="1"/>
  <c r="AI29" i="1" s="1"/>
  <c r="AH20" i="1"/>
  <c r="AI20" i="1" s="1"/>
  <c r="AH6" i="1"/>
  <c r="AI6" i="1" s="1"/>
  <c r="AH21" i="1"/>
  <c r="AI21" i="1" s="1"/>
  <c r="AH14" i="1"/>
  <c r="AI14" i="1" s="1"/>
  <c r="AH39" i="1"/>
  <c r="AH10" i="1"/>
  <c r="AI10" i="1" s="1"/>
  <c r="AH30" i="1"/>
  <c r="AI30" i="1" s="1"/>
  <c r="AH19" i="1"/>
  <c r="AI19" i="1" s="1"/>
  <c r="AH8" i="1"/>
  <c r="AI8" i="1" s="1"/>
  <c r="AH32" i="1"/>
  <c r="AI32" i="1" s="1"/>
  <c r="AH15" i="1"/>
  <c r="AI15" i="1" s="1"/>
  <c r="AH16" i="1"/>
  <c r="AI16" i="1" s="1"/>
  <c r="AH27" i="1"/>
  <c r="AI27" i="1" s="1"/>
  <c r="AH40" i="1"/>
  <c r="AH23" i="1"/>
  <c r="AI23" i="1" s="1"/>
  <c r="AH11" i="1"/>
  <c r="AI11" i="1" s="1"/>
  <c r="AH35" i="1"/>
  <c r="AI35" i="1" s="1"/>
  <c r="AH28" i="1"/>
  <c r="AI28" i="1" s="1"/>
  <c r="AH9" i="1"/>
  <c r="AI9" i="1" s="1"/>
  <c r="AH38" i="1"/>
  <c r="AI38" i="1" s="1"/>
  <c r="AH36" i="1"/>
  <c r="AI36" i="1" s="1"/>
  <c r="AH31" i="1"/>
  <c r="AI31" i="1" s="1"/>
  <c r="AH13" i="1"/>
  <c r="AI13" i="1" s="1"/>
  <c r="AH17" i="1"/>
  <c r="AI17" i="1" s="1"/>
  <c r="AH18" i="1"/>
  <c r="AI18" i="1" s="1"/>
  <c r="AH37" i="1"/>
  <c r="AI37" i="1" s="1"/>
  <c r="AH26" i="1"/>
  <c r="AI26" i="1" s="1"/>
  <c r="AH33" i="1"/>
  <c r="AI33" i="1" s="1"/>
  <c r="AH25" i="1"/>
  <c r="AI25" i="1" s="1"/>
  <c r="R7" i="5" l="1"/>
  <c r="Q7" i="5"/>
  <c r="R9" i="5"/>
  <c r="Q9" i="5"/>
  <c r="R8" i="5"/>
  <c r="Q8" i="5"/>
  <c r="R5" i="5"/>
  <c r="Q5" i="5"/>
</calcChain>
</file>

<file path=xl/sharedStrings.xml><?xml version="1.0" encoding="utf-8"?>
<sst xmlns="http://schemas.openxmlformats.org/spreadsheetml/2006/main" count="271" uniqueCount="193">
  <si>
    <t>VTOL</t>
  </si>
  <si>
    <t>ROAD</t>
  </si>
  <si>
    <t>MOTART</t>
  </si>
  <si>
    <t>WINGART</t>
  </si>
  <si>
    <t>NUMPROP</t>
  </si>
  <si>
    <t>WINGLIFT</t>
  </si>
  <si>
    <t>UNUSUAL</t>
  </si>
  <si>
    <t>MECH</t>
  </si>
  <si>
    <t>AERO</t>
  </si>
  <si>
    <t>AESTH</t>
  </si>
  <si>
    <t>PERSON</t>
  </si>
  <si>
    <t>Certifification Quotient</t>
  </si>
  <si>
    <t>VTOL = 1 or 0</t>
  </si>
  <si>
    <t>ROAD = 1 or 0</t>
  </si>
  <si>
    <t>MOTART = 1 or 0</t>
  </si>
  <si>
    <t>WINGART = 1 or 0</t>
  </si>
  <si>
    <t>NUMPROP = n</t>
  </si>
  <si>
    <t>WINGLIFT = 1 or 0</t>
  </si>
  <si>
    <t>UNUSUAL = n</t>
  </si>
  <si>
    <t>MECH = n</t>
  </si>
  <si>
    <t>AERO = n</t>
  </si>
  <si>
    <t>AESTH = n</t>
  </si>
  <si>
    <t>PERSON = 1 or 0</t>
  </si>
  <si>
    <t>Can the vehicle take off and land vertically?</t>
  </si>
  <si>
    <t>Can the vehicle be driven on the public highway?</t>
  </si>
  <si>
    <t xml:space="preserve">Does the Motor and propeller articulate relative to the rest of the vehicle’s fixed structure? </t>
  </si>
  <si>
    <t xml:space="preserve">Are the motors and propellers fixed to the wing(s) and do the wing(s) articulate relative to the vehicle’s fixed structure? </t>
  </si>
  <si>
    <t>How many motors and propellers are used? if the number of propellers exceeds 10 then set equal to 10</t>
  </si>
  <si>
    <t xml:space="preserve">A mark out of 10 given on a scale from conventional (0) to exotic (10) </t>
  </si>
  <si>
    <t xml:space="preserve">A mark out of 10 for mechanical complexity given on a scale from simple (0) to complex (10) </t>
  </si>
  <si>
    <t>Is the aircraft particularly attractive or unattractive, marked out of 10, for particularly unattractive aircraft (0), aesthetically neutral (5), exceptionally visually attractive (10)</t>
  </si>
  <si>
    <t>11) Ability to carry more than one person – Yes/No</t>
  </si>
  <si>
    <t>A mark out of 10 from  aerodynamically unstable (all flight characteristics software controlled) (0) to aerodynamically stable (no characteristics software controlled) (10)</t>
  </si>
  <si>
    <t>Certification Environment</t>
  </si>
  <si>
    <t>Harsh</t>
  </si>
  <si>
    <t>Market Environment</t>
  </si>
  <si>
    <t>Accepting</t>
  </si>
  <si>
    <t>Critical</t>
  </si>
  <si>
    <t>Lenient</t>
  </si>
  <si>
    <t>Point 1</t>
  </si>
  <si>
    <t>Point 2</t>
  </si>
  <si>
    <t>x₁ =</t>
  </si>
  <si>
    <t>in</t>
  </si>
  <si>
    <t>x₂ =</t>
  </si>
  <si>
    <t>y₁ =</t>
  </si>
  <si>
    <t>y₂ =</t>
  </si>
  <si>
    <t>z₁ =</t>
  </si>
  <si>
    <t>z₂ =</t>
  </si>
  <si>
    <t>m=</t>
  </si>
  <si>
    <t>c =</t>
  </si>
  <si>
    <t>L =</t>
  </si>
  <si>
    <t>Does the vehicle depend on airflow over a lifting surface relative to the vehicle forward movement in forward flight (1) or is lift in forward flight provided by rotors (0)?</t>
  </si>
  <si>
    <t>Airbus</t>
  </si>
  <si>
    <t>OX</t>
  </si>
  <si>
    <t>Vahana</t>
  </si>
  <si>
    <t>Aurora/Boeing</t>
  </si>
  <si>
    <t>LightningStrike X-Plane</t>
  </si>
  <si>
    <t>eVTOL</t>
  </si>
  <si>
    <t>Ehang</t>
  </si>
  <si>
    <t>Lilium</t>
  </si>
  <si>
    <t>Eagle</t>
  </si>
  <si>
    <t>Jet</t>
  </si>
  <si>
    <t>Uber</t>
  </si>
  <si>
    <t>Elevate</t>
  </si>
  <si>
    <t>Volocopter</t>
  </si>
  <si>
    <t>Terrafugia</t>
  </si>
  <si>
    <t>Transition</t>
  </si>
  <si>
    <t>TF-X</t>
  </si>
  <si>
    <t>Joby</t>
  </si>
  <si>
    <t>Verdego</t>
  </si>
  <si>
    <t>Urban Aeronautics</t>
  </si>
  <si>
    <t>Cormorant</t>
  </si>
  <si>
    <t>Evation</t>
  </si>
  <si>
    <t>Alice</t>
  </si>
  <si>
    <t>AeroMobil</t>
  </si>
  <si>
    <t>Vimana</t>
  </si>
  <si>
    <t>AAV</t>
  </si>
  <si>
    <t>Zee Aero</t>
  </si>
  <si>
    <t>XTI</t>
  </si>
  <si>
    <t>TriFan 600</t>
  </si>
  <si>
    <t>Kitty Hawk</t>
  </si>
  <si>
    <t>AirspaceX</t>
  </si>
  <si>
    <t>Mobi-One</t>
  </si>
  <si>
    <t>Avianovations</t>
  </si>
  <si>
    <t>Hepard</t>
  </si>
  <si>
    <t>Bartini</t>
  </si>
  <si>
    <t>Cartivator (Toyota)</t>
  </si>
  <si>
    <t>Skydrive</t>
  </si>
  <si>
    <t>Dekatone</t>
  </si>
  <si>
    <t>HoverSurf</t>
  </si>
  <si>
    <t>Formula</t>
  </si>
  <si>
    <t>Scorpion 3</t>
  </si>
  <si>
    <t>JetPack Aviation</t>
  </si>
  <si>
    <t>Kalashnikov</t>
  </si>
  <si>
    <t>Passenger Drone</t>
  </si>
  <si>
    <t>PAV-X</t>
  </si>
  <si>
    <t xml:space="preserve">VRCO </t>
  </si>
  <si>
    <t>NeoXCraft</t>
  </si>
  <si>
    <t>Workhorse</t>
  </si>
  <si>
    <t>SureFly</t>
  </si>
  <si>
    <t>Autonomous Flight</t>
  </si>
  <si>
    <t>Y6S</t>
  </si>
  <si>
    <t>Carter</t>
  </si>
  <si>
    <t>Cartercopter</t>
  </si>
  <si>
    <t>Digi Roboics</t>
  </si>
  <si>
    <t>Drofire/Droxi</t>
  </si>
  <si>
    <t>EVA</t>
  </si>
  <si>
    <t>X01</t>
  </si>
  <si>
    <t>FlexCraft</t>
  </si>
  <si>
    <t>HopFlyt</t>
  </si>
  <si>
    <t>Venturi</t>
  </si>
  <si>
    <t>JAXA</t>
  </si>
  <si>
    <t>Hornisse</t>
  </si>
  <si>
    <t>Skylys</t>
  </si>
  <si>
    <t>Martin</t>
  </si>
  <si>
    <t>JetPack</t>
  </si>
  <si>
    <t>Alauda</t>
  </si>
  <si>
    <t>Airspeeder</t>
  </si>
  <si>
    <t>Davinci</t>
  </si>
  <si>
    <t>ZeroG</t>
  </si>
  <si>
    <t>Flike</t>
  </si>
  <si>
    <t>Flyt</t>
  </si>
  <si>
    <t>FlytCycle</t>
  </si>
  <si>
    <t>GravityX</t>
  </si>
  <si>
    <t>Malloy</t>
  </si>
  <si>
    <t>Neva</t>
  </si>
  <si>
    <t>AirQuadOne</t>
  </si>
  <si>
    <t>Airis</t>
  </si>
  <si>
    <t>Airisone</t>
  </si>
  <si>
    <t>Ampaire</t>
  </si>
  <si>
    <t>Sabrewing</t>
  </si>
  <si>
    <t>Talos</t>
  </si>
  <si>
    <t>Faradair</t>
  </si>
  <si>
    <t>Beha</t>
  </si>
  <si>
    <t>Onera</t>
  </si>
  <si>
    <t>Ampere</t>
  </si>
  <si>
    <t>Solar Flight</t>
  </si>
  <si>
    <t>6-Seat</t>
  </si>
  <si>
    <t>Synergy</t>
  </si>
  <si>
    <t>V31</t>
  </si>
  <si>
    <t>PAL-V</t>
  </si>
  <si>
    <t>http://www.airbus.com/newsroom/press-releases/en/2018/02/vahana--the-self-piloted--evtol-aircraft-from-a--by-airbus--succ.html</t>
  </si>
  <si>
    <t>http://www.aurora.aero/</t>
  </si>
  <si>
    <t>http://www.ehang.com/ehang184/</t>
  </si>
  <si>
    <t>https://lilium.com/</t>
  </si>
  <si>
    <t>https://www.uber.com/info/elevate/</t>
  </si>
  <si>
    <t>https://www.volocopter.com/en/product/</t>
  </si>
  <si>
    <t>https://www.terrafugia.com/the-transition/</t>
  </si>
  <si>
    <t>https://www.terrafugia.com/tf-x/</t>
  </si>
  <si>
    <t>https://www.verdegoaero.com/</t>
  </si>
  <si>
    <t>http://www.urbanaero.com/</t>
  </si>
  <si>
    <t>https://www.eviation.co/</t>
  </si>
  <si>
    <t>https://www.aeromobil.com/evolution/</t>
  </si>
  <si>
    <t>https://vimana.global/products.html</t>
  </si>
  <si>
    <t>http://www.zee.aero/</t>
  </si>
  <si>
    <t>http://www.xtiaircraft.com/home/</t>
  </si>
  <si>
    <t>https://kittyhawk.aero/</t>
  </si>
  <si>
    <t>http://airspacex.com/</t>
  </si>
  <si>
    <t>http://hepard.avianovations.com/</t>
  </si>
  <si>
    <t>https://www.bartini.aero/</t>
  </si>
  <si>
    <t>http://cartivator.com/skydrive</t>
  </si>
  <si>
    <t>https://www.linkedin.com/in/gary-daprato-5708a597/</t>
  </si>
  <si>
    <t>https://www.hoversurf.com/formula</t>
  </si>
  <si>
    <t>https://www.hoversurf.com/scorpion-3</t>
  </si>
  <si>
    <t>http://www.jetpackaviation.com/</t>
  </si>
  <si>
    <t>https://kalashnikov.com/en/</t>
  </si>
  <si>
    <t>http://passengerdrone.com/</t>
  </si>
  <si>
    <t>http://www.pav-x.com/#</t>
  </si>
  <si>
    <t>http://vrco.co.uk/the-project/</t>
  </si>
  <si>
    <t>http://workhorse.com/index.php/surefly</t>
  </si>
  <si>
    <t>http://autonomousflight.com/</t>
  </si>
  <si>
    <t>http://www.cartercopters.com</t>
  </si>
  <si>
    <t>http://digirobotics.com/</t>
  </si>
  <si>
    <t>http://eva.xyz/</t>
  </si>
  <si>
    <t>http://flexcraft.pt/en/</t>
  </si>
  <si>
    <t>https://hopflyt.com/</t>
  </si>
  <si>
    <t>http://www.aero.jaxa.jp/research/basic/propulsion/liftfan/</t>
  </si>
  <si>
    <t>https://www.linkedin.com/company/skylysaircraft%C2%AE/</t>
  </si>
  <si>
    <t>http://www.martinjetpack.com/</t>
  </si>
  <si>
    <t>https://www.alaudaracing.com/</t>
  </si>
  <si>
    <t>http://da-vinci.us/ZeroG.php</t>
  </si>
  <si>
    <t>http://flytaerospace.com/flytcycle/</t>
  </si>
  <si>
    <t>http://www.hover-bike.com/</t>
  </si>
  <si>
    <t>http://www.neva-aero.com/</t>
  </si>
  <si>
    <t>https://www.airisaero.com/airis1/</t>
  </si>
  <si>
    <t>https://www.ampaire.com/</t>
  </si>
  <si>
    <t>https://www.sabrewingaircraft.com/</t>
  </si>
  <si>
    <t>http://s619764129.onlinehome.us/</t>
  </si>
  <si>
    <t>http://faradair.com/fwp/</t>
  </si>
  <si>
    <t>https://www.onera.fr/en/aeronautics</t>
  </si>
  <si>
    <t>http://www.solar-flight.com/projects/solar-6-seat-transporter/</t>
  </si>
  <si>
    <t>http://synergyaircraft.com/</t>
  </si>
  <si>
    <t>https://www.pal-v.com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</si>
</sst>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6" formatCode="0.0000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8"/>
      <color theme="8" tint="-0.249977111117893"/>
      <name val="Sergoe"/>
    </font>
    <font>
      <i/>
      <sz val="18"/>
      <color theme="8" tint="-0.249977111117893"/>
      <name val="Sergoe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sz val="11"/>
      <color rgb="FF33333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1" fontId="0" fillId="0" borderId="0" xfId="0" applyNumberFormat="1" applyFont="1"/>
    <xf numFmtId="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2" borderId="0" xfId="0" applyFill="1" applyAlignment="1"/>
    <xf numFmtId="0" fontId="5" fillId="0" borderId="0" xfId="0" applyFont="1"/>
    <xf numFmtId="0" fontId="6" fillId="0" borderId="0" xfId="0" applyFont="1"/>
    <xf numFmtId="2" fontId="0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/>
    <xf numFmtId="0" fontId="9" fillId="0" borderId="0" xfId="0" applyFont="1" applyBorder="1"/>
    <xf numFmtId="0" fontId="10" fillId="0" borderId="0" xfId="0" applyFont="1" applyBorder="1"/>
    <xf numFmtId="0" fontId="10" fillId="0" borderId="0" xfId="0" applyFont="1" applyAlignment="1">
      <alignment horizontal="right"/>
    </xf>
    <xf numFmtId="164" fontId="10" fillId="0" borderId="0" xfId="0" applyNumberFormat="1" applyFont="1" applyAlignment="1">
      <alignment horizontal="right"/>
    </xf>
    <xf numFmtId="164" fontId="10" fillId="0" borderId="0" xfId="0" applyNumberFormat="1" applyFont="1" applyBorder="1"/>
    <xf numFmtId="0" fontId="10" fillId="0" borderId="0" xfId="0" applyFont="1" applyFill="1" applyAlignment="1">
      <alignment horizontal="right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left"/>
    </xf>
    <xf numFmtId="0" fontId="10" fillId="0" borderId="0" xfId="0" applyFont="1" applyBorder="1" applyAlignment="1">
      <alignment horizontal="right"/>
    </xf>
    <xf numFmtId="2" fontId="10" fillId="0" borderId="0" xfId="0" applyNumberFormat="1" applyFont="1" applyBorder="1"/>
    <xf numFmtId="164" fontId="9" fillId="0" borderId="0" xfId="0" applyNumberFormat="1" applyFont="1"/>
    <xf numFmtId="0" fontId="10" fillId="0" borderId="0" xfId="0" applyFont="1" applyAlignment="1">
      <alignment vertical="top"/>
    </xf>
    <xf numFmtId="0" fontId="10" fillId="0" borderId="0" xfId="0" applyFont="1" applyAlignment="1"/>
    <xf numFmtId="164" fontId="10" fillId="0" borderId="0" xfId="0" applyNumberFormat="1" applyFont="1"/>
    <xf numFmtId="0" fontId="0" fillId="0" borderId="0" xfId="0" applyFill="1"/>
    <xf numFmtId="0" fontId="0" fillId="0" borderId="0" xfId="0" applyFill="1" applyAlignment="1"/>
    <xf numFmtId="0" fontId="0" fillId="0" borderId="0" xfId="0" applyFont="1" applyFill="1" applyBorder="1" applyAlignment="1">
      <alignment horizontal="left"/>
    </xf>
    <xf numFmtId="1" fontId="4" fillId="3" borderId="0" xfId="0" applyNumberFormat="1" applyFont="1" applyFill="1" applyBorder="1" applyAlignment="1">
      <alignment horizontal="right" wrapText="1"/>
    </xf>
    <xf numFmtId="1" fontId="4" fillId="3" borderId="0" xfId="0" applyNumberFormat="1" applyFont="1" applyFill="1" applyAlignment="1">
      <alignment horizontal="right"/>
    </xf>
    <xf numFmtId="0" fontId="0" fillId="3" borderId="0" xfId="0" applyFill="1"/>
    <xf numFmtId="0" fontId="0" fillId="3" borderId="0" xfId="0" applyFill="1" applyAlignment="1"/>
    <xf numFmtId="0" fontId="8" fillId="3" borderId="0" xfId="0" applyFont="1" applyFill="1"/>
    <xf numFmtId="0" fontId="8" fillId="3" borderId="0" xfId="0" applyFont="1" applyFill="1" applyAlignment="1">
      <alignment horizontal="right"/>
    </xf>
    <xf numFmtId="0" fontId="7" fillId="3" borderId="0" xfId="0" applyFont="1" applyFill="1"/>
    <xf numFmtId="0" fontId="0" fillId="3" borderId="0" xfId="0" applyFill="1" applyAlignment="1">
      <alignment horizontal="center"/>
    </xf>
    <xf numFmtId="0" fontId="11" fillId="0" borderId="0" xfId="0" applyFont="1" applyFill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left" wrapText="1"/>
    </xf>
    <xf numFmtId="0" fontId="1" fillId="0" borderId="0" xfId="0" applyFont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6" fontId="0" fillId="0" borderId="0" xfId="0" applyNumberFormat="1" applyFont="1"/>
    <xf numFmtId="164" fontId="0" fillId="0" borderId="0" xfId="0" applyNumberFormat="1" applyFont="1"/>
    <xf numFmtId="0" fontId="1" fillId="0" borderId="4" xfId="0" applyFont="1" applyBorder="1"/>
    <xf numFmtId="0" fontId="0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Font="1" applyAlignment="1"/>
    <xf numFmtId="0" fontId="13" fillId="0" borderId="0" xfId="1" applyAlignment="1"/>
    <xf numFmtId="0" fontId="13" fillId="0" borderId="0" xfId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2B1E7A"/>
      <color rgb="FFFFFF99"/>
      <color rgb="FFFF37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Urban</a:t>
            </a:r>
            <a:r>
              <a:rPr lang="en-US" baseline="0"/>
              <a:t> Mobility Environment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NON FIXED WING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bg1">
                    <a:lumMod val="50000"/>
                  </a:schemeClr>
                </a:solidFill>
              </a:ln>
              <a:effectLst/>
            </c:spPr>
          </c:marker>
          <c:xVal>
            <c:numRef>
              <c:f>CALC!$V$6:$V$40</c:f>
              <c:numCache>
                <c:formatCode>0.00</c:formatCode>
                <c:ptCount val="35"/>
                <c:pt idx="0">
                  <c:v>0.16227037211493167</c:v>
                </c:pt>
                <c:pt idx="1">
                  <c:v>0.35044747998115888</c:v>
                </c:pt>
                <c:pt idx="2">
                  <c:v>0.34149788035798401</c:v>
                </c:pt>
                <c:pt idx="3">
                  <c:v>0.63306641544983522</c:v>
                </c:pt>
                <c:pt idx="4">
                  <c:v>0.35327366933584547</c:v>
                </c:pt>
                <c:pt idx="5">
                  <c:v>0.35327366933584547</c:v>
                </c:pt>
                <c:pt idx="6">
                  <c:v>0.54804521902967496</c:v>
                </c:pt>
                <c:pt idx="7">
                  <c:v>0.48280734809232217</c:v>
                </c:pt>
                <c:pt idx="8">
                  <c:v>0.51413094677343385</c:v>
                </c:pt>
                <c:pt idx="9">
                  <c:v>0.37093735280263773</c:v>
                </c:pt>
                <c:pt idx="10">
                  <c:v>0.32689590202543584</c:v>
                </c:pt>
                <c:pt idx="11">
                  <c:v>0.22703721149317002</c:v>
                </c:pt>
                <c:pt idx="12">
                  <c:v>0.29156853509185132</c:v>
                </c:pt>
                <c:pt idx="13">
                  <c:v>0.15308525671219975</c:v>
                </c:pt>
                <c:pt idx="14">
                  <c:v>0.44465379180405096</c:v>
                </c:pt>
                <c:pt idx="15">
                  <c:v>0.50211964201601511</c:v>
                </c:pt>
                <c:pt idx="16">
                  <c:v>0</c:v>
                </c:pt>
                <c:pt idx="17">
                  <c:v>0.3624587847385774</c:v>
                </c:pt>
                <c:pt idx="18">
                  <c:v>9.4441827602449457E-2</c:v>
                </c:pt>
                <c:pt idx="19">
                  <c:v>0.20348563353744697</c:v>
                </c:pt>
                <c:pt idx="20">
                  <c:v>0.53320772491756951</c:v>
                </c:pt>
                <c:pt idx="21">
                  <c:v>0.48893075836081024</c:v>
                </c:pt>
                <c:pt idx="22">
                  <c:v>0.56194065002355165</c:v>
                </c:pt>
                <c:pt idx="23">
                  <c:v>0.49458313707018375</c:v>
                </c:pt>
                <c:pt idx="24">
                  <c:v>0.40367404616109281</c:v>
                </c:pt>
                <c:pt idx="25">
                  <c:v>0.45642958078191243</c:v>
                </c:pt>
                <c:pt idx="26">
                  <c:v>0.24328780028261909</c:v>
                </c:pt>
                <c:pt idx="27">
                  <c:v>4.1215261422515304E-2</c:v>
                </c:pt>
                <c:pt idx="28">
                  <c:v>0.39166274140367419</c:v>
                </c:pt>
                <c:pt idx="29">
                  <c:v>0.33584550164861049</c:v>
                </c:pt>
                <c:pt idx="30">
                  <c:v>0.47432878002826184</c:v>
                </c:pt>
                <c:pt idx="31">
                  <c:v>0.31794630240226096</c:v>
                </c:pt>
                <c:pt idx="32">
                  <c:v>0.74517192651907682</c:v>
                </c:pt>
                <c:pt idx="33">
                  <c:v>0.74187470560527558</c:v>
                </c:pt>
                <c:pt idx="34">
                  <c:v>0.76589731512011305</c:v>
                </c:pt>
              </c:numCache>
            </c:numRef>
          </c:xVal>
          <c:yVal>
            <c:numRef>
              <c:f>CALC!$W$6:$W$40</c:f>
              <c:numCache>
                <c:formatCode>0.00</c:formatCode>
                <c:ptCount val="35"/>
                <c:pt idx="0">
                  <c:v>0.14851485148514851</c:v>
                </c:pt>
                <c:pt idx="1">
                  <c:v>0.63036303630363033</c:v>
                </c:pt>
                <c:pt idx="2">
                  <c:v>0.57095709570957098</c:v>
                </c:pt>
                <c:pt idx="3">
                  <c:v>0.82178217821782173</c:v>
                </c:pt>
                <c:pt idx="4">
                  <c:v>0.75577557755775582</c:v>
                </c:pt>
                <c:pt idx="5">
                  <c:v>0.82178217821782173</c:v>
                </c:pt>
                <c:pt idx="6">
                  <c:v>0.94059405940594054</c:v>
                </c:pt>
                <c:pt idx="7">
                  <c:v>0.51155115511551152</c:v>
                </c:pt>
                <c:pt idx="8">
                  <c:v>0.68976897689768979</c:v>
                </c:pt>
                <c:pt idx="9">
                  <c:v>0.71617161716171618</c:v>
                </c:pt>
                <c:pt idx="10">
                  <c:v>0.52475247524752477</c:v>
                </c:pt>
                <c:pt idx="11">
                  <c:v>0.44554455445544555</c:v>
                </c:pt>
                <c:pt idx="12">
                  <c:v>0.63036303630363033</c:v>
                </c:pt>
                <c:pt idx="13">
                  <c:v>0.33333333333333331</c:v>
                </c:pt>
                <c:pt idx="14">
                  <c:v>0.39933993399339934</c:v>
                </c:pt>
                <c:pt idx="15">
                  <c:v>0.75577557755775582</c:v>
                </c:pt>
                <c:pt idx="16">
                  <c:v>0.18811881188118812</c:v>
                </c:pt>
                <c:pt idx="17">
                  <c:v>0.53135313531353134</c:v>
                </c:pt>
                <c:pt idx="18">
                  <c:v>0.50495049504950495</c:v>
                </c:pt>
                <c:pt idx="19">
                  <c:v>0.38613861386138615</c:v>
                </c:pt>
                <c:pt idx="20">
                  <c:v>0.71617161716171618</c:v>
                </c:pt>
                <c:pt idx="21">
                  <c:v>0.65676567656765672</c:v>
                </c:pt>
                <c:pt idx="22">
                  <c:v>0.82838283828382842</c:v>
                </c:pt>
                <c:pt idx="23">
                  <c:v>0.86798679867986794</c:v>
                </c:pt>
                <c:pt idx="24">
                  <c:v>0.53795379537953791</c:v>
                </c:pt>
                <c:pt idx="25">
                  <c:v>0.66996699669966997</c:v>
                </c:pt>
                <c:pt idx="26">
                  <c:v>0.57095709570957098</c:v>
                </c:pt>
                <c:pt idx="27">
                  <c:v>0.23432343234323433</c:v>
                </c:pt>
                <c:pt idx="28">
                  <c:v>0.54455445544554459</c:v>
                </c:pt>
                <c:pt idx="29">
                  <c:v>0.26072607260726072</c:v>
                </c:pt>
                <c:pt idx="30">
                  <c:v>0.52475247524752477</c:v>
                </c:pt>
                <c:pt idx="31">
                  <c:v>0.58415841584158412</c:v>
                </c:pt>
                <c:pt idx="32">
                  <c:v>0</c:v>
                </c:pt>
                <c:pt idx="33">
                  <c:v>0.34983498349834985</c:v>
                </c:pt>
                <c:pt idx="34">
                  <c:v>0.35973597359735976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236-41C4-B80E-A977705D82E3}"/>
            </c:ext>
          </c:extLst>
        </c:ser>
        <c:ser>
          <c:idx val="1"/>
          <c:order val="1"/>
          <c:tx>
            <c:v>USER AIRCRAFT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CALC!$Q$65</c:f>
              <c:numCache>
                <c:formatCode>0.00</c:formatCode>
                <c:ptCount val="1"/>
                <c:pt idx="0">
                  <c:v>0.72468205369759775</c:v>
                </c:pt>
              </c:numCache>
            </c:numRef>
          </c:xVal>
          <c:yVal>
            <c:numRef>
              <c:f>CALC!$S$65</c:f>
              <c:numCache>
                <c:formatCode>0.00</c:formatCode>
                <c:ptCount val="1"/>
                <c:pt idx="0">
                  <c:v>0.96039603960396036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236-41C4-B80E-A977705D82E3}"/>
            </c:ext>
          </c:extLst>
        </c:ser>
        <c:ser>
          <c:idx val="2"/>
          <c:order val="2"/>
          <c:tx>
            <c:v>FIXED WING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CALC!$V$54:$V$66</c:f>
              <c:numCache>
                <c:formatCode>0.00</c:formatCode>
                <c:ptCount val="13"/>
                <c:pt idx="0">
                  <c:v>0.95572303344324072</c:v>
                </c:pt>
                <c:pt idx="1">
                  <c:v>0.54945831370701836</c:v>
                </c:pt>
                <c:pt idx="2">
                  <c:v>0.61234102684879899</c:v>
                </c:pt>
                <c:pt idx="3">
                  <c:v>0.87187941592086671</c:v>
                </c:pt>
                <c:pt idx="4">
                  <c:v>0.67734338200659439</c:v>
                </c:pt>
                <c:pt idx="5">
                  <c:v>0.79227508243052291</c:v>
                </c:pt>
                <c:pt idx="6">
                  <c:v>0.78803579839849269</c:v>
                </c:pt>
                <c:pt idx="7">
                  <c:v>0.84691474328780025</c:v>
                </c:pt>
                <c:pt idx="8">
                  <c:v>0.98963730569948194</c:v>
                </c:pt>
                <c:pt idx="9">
                  <c:v>0.89401789919924635</c:v>
                </c:pt>
                <c:pt idx="10">
                  <c:v>0.96467263306641549</c:v>
                </c:pt>
                <c:pt idx="12">
                  <c:v>1</c:v>
                </c:pt>
              </c:numCache>
            </c:numRef>
          </c:xVal>
          <c:yVal>
            <c:numRef>
              <c:f>CALC!$W$54:$W$66</c:f>
              <c:numCache>
                <c:formatCode>0.00</c:formatCode>
                <c:ptCount val="13"/>
                <c:pt idx="0">
                  <c:v>0.54125412541254125</c:v>
                </c:pt>
                <c:pt idx="1">
                  <c:v>0.84158415841584155</c:v>
                </c:pt>
                <c:pt idx="2">
                  <c:v>1</c:v>
                </c:pt>
                <c:pt idx="3">
                  <c:v>0.84818481848184824</c:v>
                </c:pt>
                <c:pt idx="4">
                  <c:v>0.38283828382838286</c:v>
                </c:pt>
                <c:pt idx="5">
                  <c:v>0.36963696369636961</c:v>
                </c:pt>
                <c:pt idx="6">
                  <c:v>0.38283828382838286</c:v>
                </c:pt>
                <c:pt idx="7">
                  <c:v>0.33663366336633666</c:v>
                </c:pt>
                <c:pt idx="8">
                  <c:v>0.58085808580858089</c:v>
                </c:pt>
                <c:pt idx="9">
                  <c:v>0.50165016501650161</c:v>
                </c:pt>
                <c:pt idx="10">
                  <c:v>0.56105610561056107</c:v>
                </c:pt>
                <c:pt idx="12">
                  <c:v>0.21782178217821782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236-41C4-B80E-A977705D82E3}"/>
            </c:ext>
          </c:extLst>
        </c:ser>
        <c:ser>
          <c:idx val="3"/>
          <c:order val="3"/>
          <c:tx>
            <c:v>SINGLE SEAT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FF3737"/>
              </a:solidFill>
              <a:ln w="9525">
                <a:solidFill>
                  <a:srgbClr val="FF3737"/>
                </a:solidFill>
              </a:ln>
              <a:effectLst/>
            </c:spPr>
          </c:marker>
          <c:xVal>
            <c:numRef>
              <c:f>CALC!$V$42:$V$52</c:f>
              <c:numCache>
                <c:formatCode>0.00</c:formatCode>
                <c:ptCount val="11"/>
                <c:pt idx="0">
                  <c:v>0.57748469147432879</c:v>
                </c:pt>
                <c:pt idx="1">
                  <c:v>0.32713141780499289</c:v>
                </c:pt>
                <c:pt idx="2">
                  <c:v>0.22397550635892605</c:v>
                </c:pt>
                <c:pt idx="3">
                  <c:v>0.65379180405087145</c:v>
                </c:pt>
                <c:pt idx="4">
                  <c:v>0.6302402260951484</c:v>
                </c:pt>
                <c:pt idx="5">
                  <c:v>0.58878944889307583</c:v>
                </c:pt>
                <c:pt idx="6">
                  <c:v>0.67451719265190779</c:v>
                </c:pt>
                <c:pt idx="7">
                  <c:v>0.54168629298162974</c:v>
                </c:pt>
                <c:pt idx="8">
                  <c:v>0.12105511069241637</c:v>
                </c:pt>
                <c:pt idx="9">
                  <c:v>0.47103155911446071</c:v>
                </c:pt>
                <c:pt idx="10">
                  <c:v>0.49175694771549705</c:v>
                </c:pt>
              </c:numCache>
            </c:numRef>
          </c:xVal>
          <c:yVal>
            <c:numRef>
              <c:f>CALC!$W$42:$W$52</c:f>
              <c:numCache>
                <c:formatCode>0.00</c:formatCode>
                <c:ptCount val="11"/>
                <c:pt idx="0">
                  <c:v>0.38613861386138615</c:v>
                </c:pt>
                <c:pt idx="1">
                  <c:v>0.57755775577557755</c:v>
                </c:pt>
                <c:pt idx="2">
                  <c:v>0.14191419141914191</c:v>
                </c:pt>
                <c:pt idx="3">
                  <c:v>0.55775577557755773</c:v>
                </c:pt>
                <c:pt idx="4">
                  <c:v>0.58415841584158412</c:v>
                </c:pt>
                <c:pt idx="5">
                  <c:v>0.5181518151815182</c:v>
                </c:pt>
                <c:pt idx="6">
                  <c:v>0.62376237623762376</c:v>
                </c:pt>
                <c:pt idx="7">
                  <c:v>0.37293729372937295</c:v>
                </c:pt>
                <c:pt idx="8">
                  <c:v>0.12211221122112212</c:v>
                </c:pt>
                <c:pt idx="9">
                  <c:v>0.58415841584158412</c:v>
                </c:pt>
                <c:pt idx="10">
                  <c:v>0.65016501650165015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D33-4783-A88D-9B3F60AD7648}"/>
            </c:ext>
          </c:extLst>
        </c:ser>
        <c:ser>
          <c:idx val="4"/>
          <c:order val="4"/>
          <c:spPr>
            <a:ln w="9525" cap="rnd">
              <a:solidFill>
                <a:schemeClr val="tx1"/>
              </a:solidFill>
              <a:prstDash val="lgDashDot"/>
              <a:round/>
            </a:ln>
            <a:effectLst/>
          </c:spPr>
          <c:marker>
            <c:symbol val="none"/>
          </c:marker>
          <c:xVal>
            <c:numRef>
              <c:f>CALC!$AE$7:$AE$8</c:f>
              <c:numCache>
                <c:formatCode>0.000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CALC!$AF$7:$AF$8</c:f>
              <c:numCache>
                <c:formatCode>0.000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2A4-4CBB-A7C9-DE8E0DD3A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530192"/>
        <c:axId val="454529208"/>
      </c:scatterChart>
      <c:valAx>
        <c:axId val="454530192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Certification Quotient</a:t>
                </a:r>
              </a:p>
            </c:rich>
          </c:tx>
          <c:layout>
            <c:manualLayout>
              <c:xMode val="edge"/>
              <c:yMode val="edge"/>
              <c:x val="0.42292304607757369"/>
              <c:y val="0.897247819828972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4529208"/>
        <c:crosses val="autoZero"/>
        <c:crossBetween val="midCat"/>
      </c:valAx>
      <c:valAx>
        <c:axId val="4545292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Market Quotient</a:t>
                </a:r>
              </a:p>
            </c:rich>
          </c:tx>
          <c:layout>
            <c:manualLayout>
              <c:xMode val="edge"/>
              <c:yMode val="edge"/>
              <c:x val="9.4643982055551967E-3"/>
              <c:y val="0.382181215889022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4530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0.15694006999125107"/>
          <c:y val="0.94607027347388029"/>
          <c:w val="0.70521931547197703"/>
          <c:h val="3.62905765811531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8575" cap="flat" cmpd="sng" algn="ctr">
      <a:solidFill>
        <a:schemeClr val="accent1">
          <a:lumMod val="40000"/>
          <a:lumOff val="6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Comparison</a:t>
            </a:r>
            <a:r>
              <a:rPr lang="en-US" baseline="0"/>
              <a:t> to non Fixed Wing Concepts Multiple Occupants - Survival Quotients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val>
            <c:numRef>
              <c:f>CALC!$AB$6:$AB$40</c:f>
              <c:numCache>
                <c:formatCode>General</c:formatCode>
                <c:ptCount val="35"/>
                <c:pt idx="0">
                  <c:v>-0.48734844208635331</c:v>
                </c:pt>
                <c:pt idx="1">
                  <c:v>-1.356901406249437E-2</c:v>
                </c:pt>
                <c:pt idx="2">
                  <c:v>-6.1903680081770454E-2</c:v>
                </c:pt>
                <c:pt idx="3">
                  <c:v>0.32162652499556477</c:v>
                </c:pt>
                <c:pt idx="4">
                  <c:v>7.7109461961751516E-2</c:v>
                </c:pt>
                <c:pt idx="5">
                  <c:v>0.12378317689155657</c:v>
                </c:pt>
                <c:pt idx="6">
                  <c:v>0.34552014733592523</c:v>
                </c:pt>
                <c:pt idx="7">
                  <c:v>-3.9891406377829458E-3</c:v>
                </c:pt>
                <c:pt idx="8">
                  <c:v>0.14417901871127095</c:v>
                </c:pt>
                <c:pt idx="9">
                  <c:v>6.1595343363969934E-2</c:v>
                </c:pt>
                <c:pt idx="10">
                  <c:v>-0.10490043843031789</c:v>
                </c:pt>
                <c:pt idx="11">
                  <c:v>-0.23151965358185808</c:v>
                </c:pt>
                <c:pt idx="12">
                  <c:v>-5.5202715262832762E-2</c:v>
                </c:pt>
                <c:pt idx="13">
                  <c:v>-0.36315689767015175</c:v>
                </c:pt>
                <c:pt idx="14">
                  <c:v>-0.11031309439627084</c:v>
                </c:pt>
                <c:pt idx="15">
                  <c:v>0.18235945859620706</c:v>
                </c:pt>
                <c:pt idx="16">
                  <c:v>-0.57408669363660292</c:v>
                </c:pt>
                <c:pt idx="17">
                  <c:v>-7.5086311412333157E-2</c:v>
                </c:pt>
                <c:pt idx="18">
                  <c:v>-0.28327240524819547</c:v>
                </c:pt>
                <c:pt idx="19">
                  <c:v>-0.29017947749881806</c:v>
                </c:pt>
                <c:pt idx="20">
                  <c:v>0.17633782387210264</c:v>
                </c:pt>
                <c:pt idx="21">
                  <c:v>0.10302293713262353</c:v>
                </c:pt>
                <c:pt idx="22">
                  <c:v>0.2760003854385365</c:v>
                </c:pt>
                <c:pt idx="23">
                  <c:v>0.25637566022323238</c:v>
                </c:pt>
                <c:pt idx="24">
                  <c:v>-4.1275349079115703E-2</c:v>
                </c:pt>
                <c:pt idx="25">
                  <c:v>8.9375877055997782E-2</c:v>
                </c:pt>
                <c:pt idx="26">
                  <c:v>-0.13134869368393481</c:v>
                </c:pt>
                <c:pt idx="27">
                  <c:v>-0.51227150234550245</c:v>
                </c:pt>
                <c:pt idx="28">
                  <c:v>-4.5101252631004084E-2</c:v>
                </c:pt>
                <c:pt idx="29">
                  <c:v>-0.28526697556708702</c:v>
                </c:pt>
                <c:pt idx="30">
                  <c:v>-6.4965062467064745E-4</c:v>
                </c:pt>
                <c:pt idx="31">
                  <c:v>-6.9222417575944842E-2</c:v>
                </c:pt>
                <c:pt idx="32">
                  <c:v>-0.1801906587950646</c:v>
                </c:pt>
                <c:pt idx="33">
                  <c:v>6.4848543065683564E-2</c:v>
                </c:pt>
                <c:pt idx="34">
                  <c:v>8.8836150394892385E-2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AA-4A8F-9AE0-EDDB59C72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20907664"/>
        <c:axId val="620909960"/>
      </c:barChart>
      <c:barChart>
        <c:barDir val="col"/>
        <c:grouping val="clustered"/>
        <c:varyColors val="0"/>
        <c:ser>
          <c:idx val="1"/>
          <c:order val="1"/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val>
            <c:numRef>
              <c:f>CALC!$AB$68</c:f>
              <c:numCache>
                <c:formatCode>General</c:formatCode>
                <c:ptCount val="1"/>
                <c:pt idx="0">
                  <c:v>0.48442336541588199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AA-4A8F-9AE0-EDDB59C72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08791768"/>
        <c:axId val="808797344"/>
      </c:barChart>
      <c:catAx>
        <c:axId val="620907664"/>
        <c:scaling>
          <c:orientation val="minMax"/>
        </c:scaling>
        <c:delete val="1"/>
        <c:axPos val="b"/>
        <c:majorTickMark val="none"/>
        <c:minorTickMark val="none"/>
        <c:tickLblPos val="nextTo"/>
        <c:crossAx val="620909960"/>
        <c:crosses val="autoZero"/>
        <c:auto val="1"/>
        <c:lblAlgn val="ctr"/>
        <c:lblOffset val="100"/>
        <c:noMultiLvlLbl val="0"/>
      </c:catAx>
      <c:valAx>
        <c:axId val="620909960"/>
        <c:scaling>
          <c:orientation val="minMax"/>
          <c:max val="0.60000000000000009"/>
          <c:min val="-0.60000000000000009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20907664"/>
        <c:crosses val="autoZero"/>
        <c:crossBetween val="between"/>
      </c:valAx>
      <c:valAx>
        <c:axId val="808797344"/>
        <c:scaling>
          <c:orientation val="minMax"/>
          <c:max val="0.60000000000000009"/>
          <c:min val="-0.60000000000000009"/>
        </c:scaling>
        <c:delete val="1"/>
        <c:axPos val="r"/>
        <c:numFmt formatCode="General" sourceLinked="1"/>
        <c:majorTickMark val="out"/>
        <c:minorTickMark val="none"/>
        <c:tickLblPos val="nextTo"/>
        <c:crossAx val="808791768"/>
        <c:crosses val="max"/>
        <c:crossBetween val="between"/>
      </c:valAx>
      <c:catAx>
        <c:axId val="808791768"/>
        <c:scaling>
          <c:orientation val="minMax"/>
        </c:scaling>
        <c:delete val="1"/>
        <c:axPos val="b"/>
        <c:majorTickMark val="out"/>
        <c:minorTickMark val="none"/>
        <c:tickLblPos val="nextTo"/>
        <c:crossAx val="8087973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28575" cap="flat" cmpd="sng" algn="ctr">
      <a:solidFill>
        <a:schemeClr val="accent1">
          <a:lumMod val="40000"/>
          <a:lumOff val="6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Comparison</a:t>
            </a:r>
            <a:r>
              <a:rPr lang="en-US" baseline="0"/>
              <a:t> to Single Occupant Concepts - Survival Quotients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3737"/>
            </a:solidFill>
            <a:ln>
              <a:solidFill>
                <a:srgbClr val="FF3737"/>
              </a:solidFill>
            </a:ln>
            <a:effectLst/>
          </c:spPr>
          <c:invertIfNegative val="0"/>
          <c:val>
            <c:numRef>
              <c:f>CALC!$AB$42:$AB$52</c:f>
              <c:numCache>
                <c:formatCode>General</c:formatCode>
                <c:ptCount val="11"/>
                <c:pt idx="0">
                  <c:v>-2.5722207474268465E-2</c:v>
                </c:pt>
                <c:pt idx="1">
                  <c:v>-6.7394931681672585E-2</c:v>
                </c:pt>
                <c:pt idx="2">
                  <c:v>-0.44838369472137923</c:v>
                </c:pt>
                <c:pt idx="3">
                  <c:v>0.14958672809886339</c:v>
                </c:pt>
                <c:pt idx="4">
                  <c:v>0.15160273359065007</c:v>
                </c:pt>
                <c:pt idx="5">
                  <c:v>7.5618893015806751E-2</c:v>
                </c:pt>
                <c:pt idx="6">
                  <c:v>0.21091550585118771</c:v>
                </c:pt>
                <c:pt idx="7">
                  <c:v>-6.0370240790035265E-2</c:v>
                </c:pt>
                <c:pt idx="8">
                  <c:v>-0.53516151889851227</c:v>
                </c:pt>
                <c:pt idx="9">
                  <c:v>3.9025205544935028E-2</c:v>
                </c:pt>
                <c:pt idx="10">
                  <c:v>0.10035398329725932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7-42E1-9911-04E1F00F4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20907664"/>
        <c:axId val="620909960"/>
      </c:barChart>
      <c:barChart>
        <c:barDir val="col"/>
        <c:grouping val="clustered"/>
        <c:varyColors val="0"/>
        <c:ser>
          <c:idx val="1"/>
          <c:order val="1"/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val>
            <c:numRef>
              <c:f>CALC!$AB$68</c:f>
              <c:numCache>
                <c:formatCode>General</c:formatCode>
                <c:ptCount val="1"/>
                <c:pt idx="0">
                  <c:v>0.48442336541588199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A7-42E1-9911-04E1F00F4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08791768"/>
        <c:axId val="808797344"/>
      </c:barChart>
      <c:catAx>
        <c:axId val="620907664"/>
        <c:scaling>
          <c:orientation val="minMax"/>
        </c:scaling>
        <c:delete val="1"/>
        <c:axPos val="b"/>
        <c:majorTickMark val="none"/>
        <c:minorTickMark val="none"/>
        <c:tickLblPos val="nextTo"/>
        <c:crossAx val="620909960"/>
        <c:crosses val="autoZero"/>
        <c:auto val="1"/>
        <c:lblAlgn val="ctr"/>
        <c:lblOffset val="100"/>
        <c:noMultiLvlLbl val="0"/>
      </c:catAx>
      <c:valAx>
        <c:axId val="620909960"/>
        <c:scaling>
          <c:orientation val="minMax"/>
          <c:max val="0.60000000000000009"/>
          <c:min val="-0.60000000000000009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20907664"/>
        <c:crosses val="autoZero"/>
        <c:crossBetween val="between"/>
      </c:valAx>
      <c:valAx>
        <c:axId val="808797344"/>
        <c:scaling>
          <c:orientation val="minMax"/>
          <c:max val="0.60000000000000009"/>
          <c:min val="-0.60000000000000009"/>
        </c:scaling>
        <c:delete val="1"/>
        <c:axPos val="r"/>
        <c:numFmt formatCode="General" sourceLinked="1"/>
        <c:majorTickMark val="out"/>
        <c:minorTickMark val="none"/>
        <c:tickLblPos val="nextTo"/>
        <c:crossAx val="808791768"/>
        <c:crosses val="max"/>
        <c:crossBetween val="between"/>
      </c:valAx>
      <c:catAx>
        <c:axId val="808791768"/>
        <c:scaling>
          <c:orientation val="minMax"/>
        </c:scaling>
        <c:delete val="1"/>
        <c:axPos val="b"/>
        <c:majorTickMark val="out"/>
        <c:minorTickMark val="none"/>
        <c:tickLblPos val="nextTo"/>
        <c:crossAx val="8087973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28575" cap="flat" cmpd="sng" algn="ctr">
      <a:solidFill>
        <a:schemeClr val="accent1">
          <a:lumMod val="40000"/>
          <a:lumOff val="6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Comparison</a:t>
            </a:r>
            <a:r>
              <a:rPr lang="en-US" baseline="0"/>
              <a:t> to Winged Aircraft - Survival Quotients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accent1">
                  <a:lumMod val="40000"/>
                  <a:lumOff val="60000"/>
                </a:schemeClr>
              </a:solidFill>
            </a:ln>
            <a:effectLst/>
          </c:spPr>
          <c:invertIfNegative val="0"/>
          <c:val>
            <c:numRef>
              <c:f>CALC!$AB$54:$AB$66</c:f>
              <c:numCache>
                <c:formatCode>General</c:formatCode>
                <c:ptCount val="13"/>
                <c:pt idx="0">
                  <c:v>0.35141591912174747</c:v>
                </c:pt>
                <c:pt idx="1">
                  <c:v>0.27650878377002569</c:v>
                </c:pt>
                <c:pt idx="2">
                  <c:v>0.43299049248351951</c:v>
                </c:pt>
                <c:pt idx="3">
                  <c:v>0.50916230303605936</c:v>
                </c:pt>
                <c:pt idx="4">
                  <c:v>4.2554864015015174E-2</c:v>
                </c:pt>
                <c:pt idx="5">
                  <c:v>0.11448910577211478</c:v>
                </c:pt>
                <c:pt idx="6">
                  <c:v>0.12082622227165142</c:v>
                </c:pt>
                <c:pt idx="7">
                  <c:v>0.12978832302112622</c:v>
                </c:pt>
                <c:pt idx="8">
                  <c:v>0.40340115997102555</c:v>
                </c:pt>
                <c:pt idx="9">
                  <c:v>0.27977957130590969</c:v>
                </c:pt>
                <c:pt idx="10">
                  <c:v>0.37174635618314045</c:v>
                </c:pt>
                <c:pt idx="12">
                  <c:v>0.15402325926835689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1A-4F89-A87A-B63DAC5C6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20907664"/>
        <c:axId val="620909960"/>
      </c:barChart>
      <c:barChart>
        <c:barDir val="col"/>
        <c:grouping val="clustered"/>
        <c:varyColors val="0"/>
        <c:ser>
          <c:idx val="1"/>
          <c:order val="1"/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val>
            <c:numRef>
              <c:f>CALC!$AB$68</c:f>
              <c:numCache>
                <c:formatCode>General</c:formatCode>
                <c:ptCount val="1"/>
                <c:pt idx="0">
                  <c:v>0.48442336541588199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1A-4F89-A87A-B63DAC5C6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08791768"/>
        <c:axId val="808797344"/>
      </c:barChart>
      <c:catAx>
        <c:axId val="620907664"/>
        <c:scaling>
          <c:orientation val="minMax"/>
        </c:scaling>
        <c:delete val="1"/>
        <c:axPos val="b"/>
        <c:majorTickMark val="none"/>
        <c:minorTickMark val="none"/>
        <c:tickLblPos val="nextTo"/>
        <c:crossAx val="620909960"/>
        <c:crosses val="autoZero"/>
        <c:auto val="1"/>
        <c:lblAlgn val="ctr"/>
        <c:lblOffset val="100"/>
        <c:noMultiLvlLbl val="0"/>
      </c:catAx>
      <c:valAx>
        <c:axId val="620909960"/>
        <c:scaling>
          <c:orientation val="minMax"/>
          <c:max val="0.60000000000000009"/>
          <c:min val="-0.60000000000000009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20907664"/>
        <c:crosses val="autoZero"/>
        <c:crossBetween val="between"/>
      </c:valAx>
      <c:valAx>
        <c:axId val="808797344"/>
        <c:scaling>
          <c:orientation val="minMax"/>
          <c:max val="0.60000000000000009"/>
          <c:min val="-0.60000000000000009"/>
        </c:scaling>
        <c:delete val="1"/>
        <c:axPos val="r"/>
        <c:numFmt formatCode="General" sourceLinked="1"/>
        <c:majorTickMark val="out"/>
        <c:minorTickMark val="none"/>
        <c:tickLblPos val="nextTo"/>
        <c:crossAx val="808791768"/>
        <c:crosses val="max"/>
        <c:crossBetween val="between"/>
      </c:valAx>
      <c:catAx>
        <c:axId val="808791768"/>
        <c:scaling>
          <c:orientation val="minMax"/>
        </c:scaling>
        <c:delete val="1"/>
        <c:axPos val="b"/>
        <c:majorTickMark val="out"/>
        <c:minorTickMark val="none"/>
        <c:tickLblPos val="nextTo"/>
        <c:crossAx val="8087973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28575" cap="flat" cmpd="sng" algn="ctr">
      <a:solidFill>
        <a:schemeClr val="accent1">
          <a:lumMod val="40000"/>
          <a:lumOff val="6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Comparison</a:t>
            </a:r>
            <a:r>
              <a:rPr lang="en-US" baseline="0"/>
              <a:t> to All Concepts - Survival Quotients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/>
          </c:spPr>
          <c:invertIfNegative val="0"/>
          <c:val>
            <c:numRef>
              <c:f>CALC!$AB$6:$AB$66</c:f>
              <c:numCache>
                <c:formatCode>General</c:formatCode>
                <c:ptCount val="61"/>
                <c:pt idx="0">
                  <c:v>-0.48734844208635331</c:v>
                </c:pt>
                <c:pt idx="1">
                  <c:v>-1.356901406249437E-2</c:v>
                </c:pt>
                <c:pt idx="2">
                  <c:v>-6.1903680081770454E-2</c:v>
                </c:pt>
                <c:pt idx="3">
                  <c:v>0.32162652499556477</c:v>
                </c:pt>
                <c:pt idx="4">
                  <c:v>7.7109461961751516E-2</c:v>
                </c:pt>
                <c:pt idx="5">
                  <c:v>0.12378317689155657</c:v>
                </c:pt>
                <c:pt idx="6">
                  <c:v>0.34552014733592523</c:v>
                </c:pt>
                <c:pt idx="7">
                  <c:v>-3.9891406377829458E-3</c:v>
                </c:pt>
                <c:pt idx="8">
                  <c:v>0.14417901871127095</c:v>
                </c:pt>
                <c:pt idx="9">
                  <c:v>6.1595343363969934E-2</c:v>
                </c:pt>
                <c:pt idx="10">
                  <c:v>-0.10490043843031789</c:v>
                </c:pt>
                <c:pt idx="11">
                  <c:v>-0.23151965358185808</c:v>
                </c:pt>
                <c:pt idx="12">
                  <c:v>-5.5202715262832762E-2</c:v>
                </c:pt>
                <c:pt idx="13">
                  <c:v>-0.36315689767015175</c:v>
                </c:pt>
                <c:pt idx="14">
                  <c:v>-0.11031309439627084</c:v>
                </c:pt>
                <c:pt idx="15">
                  <c:v>0.18235945859620706</c:v>
                </c:pt>
                <c:pt idx="16">
                  <c:v>-0.57408669363660292</c:v>
                </c:pt>
                <c:pt idx="17">
                  <c:v>-7.5086311412333157E-2</c:v>
                </c:pt>
                <c:pt idx="18">
                  <c:v>-0.28327240524819547</c:v>
                </c:pt>
                <c:pt idx="19">
                  <c:v>-0.29017947749881806</c:v>
                </c:pt>
                <c:pt idx="20">
                  <c:v>0.17633782387210264</c:v>
                </c:pt>
                <c:pt idx="21">
                  <c:v>0.10302293713262353</c:v>
                </c:pt>
                <c:pt idx="22">
                  <c:v>0.2760003854385365</c:v>
                </c:pt>
                <c:pt idx="23">
                  <c:v>0.25637566022323238</c:v>
                </c:pt>
                <c:pt idx="24">
                  <c:v>-4.1275349079115703E-2</c:v>
                </c:pt>
                <c:pt idx="25">
                  <c:v>8.9375877055997782E-2</c:v>
                </c:pt>
                <c:pt idx="26">
                  <c:v>-0.13134869368393481</c:v>
                </c:pt>
                <c:pt idx="27">
                  <c:v>-0.51227150234550245</c:v>
                </c:pt>
                <c:pt idx="28">
                  <c:v>-4.5101252631004084E-2</c:v>
                </c:pt>
                <c:pt idx="29">
                  <c:v>-0.28526697556708702</c:v>
                </c:pt>
                <c:pt idx="30">
                  <c:v>-6.4965062467064745E-4</c:v>
                </c:pt>
                <c:pt idx="31">
                  <c:v>-6.9222417575944842E-2</c:v>
                </c:pt>
                <c:pt idx="32">
                  <c:v>-0.1801906587950646</c:v>
                </c:pt>
                <c:pt idx="33">
                  <c:v>6.4848543065683564E-2</c:v>
                </c:pt>
                <c:pt idx="34">
                  <c:v>8.8836150394892385E-2</c:v>
                </c:pt>
                <c:pt idx="36">
                  <c:v>-2.5722207474268465E-2</c:v>
                </c:pt>
                <c:pt idx="37">
                  <c:v>-6.7394931681672585E-2</c:v>
                </c:pt>
                <c:pt idx="38">
                  <c:v>-0.44838369472137923</c:v>
                </c:pt>
                <c:pt idx="39">
                  <c:v>0.14958672809886339</c:v>
                </c:pt>
                <c:pt idx="40">
                  <c:v>0.15160273359065007</c:v>
                </c:pt>
                <c:pt idx="41">
                  <c:v>7.5618893015806751E-2</c:v>
                </c:pt>
                <c:pt idx="42">
                  <c:v>0.21091550585118771</c:v>
                </c:pt>
                <c:pt idx="43">
                  <c:v>-6.0370240790035265E-2</c:v>
                </c:pt>
                <c:pt idx="44">
                  <c:v>-0.53516151889851227</c:v>
                </c:pt>
                <c:pt idx="45">
                  <c:v>3.9025205544935028E-2</c:v>
                </c:pt>
                <c:pt idx="46">
                  <c:v>0.10035398329725932</c:v>
                </c:pt>
                <c:pt idx="48">
                  <c:v>0.35141591912174747</c:v>
                </c:pt>
                <c:pt idx="49">
                  <c:v>0.27650878377002569</c:v>
                </c:pt>
                <c:pt idx="50">
                  <c:v>0.43299049248351951</c:v>
                </c:pt>
                <c:pt idx="51">
                  <c:v>0.50916230303605936</c:v>
                </c:pt>
                <c:pt idx="52">
                  <c:v>4.2554864015015174E-2</c:v>
                </c:pt>
                <c:pt idx="53">
                  <c:v>0.11448910577211478</c:v>
                </c:pt>
                <c:pt idx="54">
                  <c:v>0.12082622227165142</c:v>
                </c:pt>
                <c:pt idx="55">
                  <c:v>0.12978832302112622</c:v>
                </c:pt>
                <c:pt idx="56">
                  <c:v>0.40340115997102555</c:v>
                </c:pt>
                <c:pt idx="57">
                  <c:v>0.27977957130590969</c:v>
                </c:pt>
                <c:pt idx="58">
                  <c:v>0.37174635618314045</c:v>
                </c:pt>
                <c:pt idx="60">
                  <c:v>0.15402325926835689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3C-42C1-950A-2976D98CA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20907664"/>
        <c:axId val="620909960"/>
      </c:barChart>
      <c:barChart>
        <c:barDir val="col"/>
        <c:grouping val="clustered"/>
        <c:varyColors val="0"/>
        <c:ser>
          <c:idx val="1"/>
          <c:order val="1"/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val>
            <c:numRef>
              <c:f>CALC!$AB$68</c:f>
              <c:numCache>
                <c:formatCode>General</c:formatCode>
                <c:ptCount val="1"/>
                <c:pt idx="0">
                  <c:v>0.48442336541588199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3C-42C1-950A-2976D98CA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08791768"/>
        <c:axId val="808797344"/>
      </c:barChart>
      <c:catAx>
        <c:axId val="620907664"/>
        <c:scaling>
          <c:orientation val="minMax"/>
        </c:scaling>
        <c:delete val="1"/>
        <c:axPos val="b"/>
        <c:majorTickMark val="none"/>
        <c:minorTickMark val="none"/>
        <c:tickLblPos val="nextTo"/>
        <c:crossAx val="620909960"/>
        <c:crosses val="autoZero"/>
        <c:auto val="1"/>
        <c:lblAlgn val="ctr"/>
        <c:lblOffset val="100"/>
        <c:noMultiLvlLbl val="0"/>
      </c:catAx>
      <c:valAx>
        <c:axId val="620909960"/>
        <c:scaling>
          <c:orientation val="minMax"/>
          <c:max val="0.60000000000000009"/>
          <c:min val="-0.60000000000000009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20907664"/>
        <c:crosses val="autoZero"/>
        <c:crossBetween val="between"/>
      </c:valAx>
      <c:valAx>
        <c:axId val="808797344"/>
        <c:scaling>
          <c:orientation val="minMax"/>
          <c:max val="0.60000000000000009"/>
          <c:min val="-0.60000000000000009"/>
        </c:scaling>
        <c:delete val="1"/>
        <c:axPos val="r"/>
        <c:numFmt formatCode="General" sourceLinked="1"/>
        <c:majorTickMark val="out"/>
        <c:minorTickMark val="none"/>
        <c:tickLblPos val="nextTo"/>
        <c:crossAx val="808791768"/>
        <c:crosses val="max"/>
        <c:crossBetween val="between"/>
      </c:valAx>
      <c:catAx>
        <c:axId val="808791768"/>
        <c:scaling>
          <c:orientation val="minMax"/>
        </c:scaling>
        <c:delete val="1"/>
        <c:axPos val="b"/>
        <c:majorTickMark val="out"/>
        <c:minorTickMark val="none"/>
        <c:tickLblPos val="nextTo"/>
        <c:crossAx val="8087973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28575" cap="flat" cmpd="sng" algn="ctr">
      <a:solidFill>
        <a:schemeClr val="accent1">
          <a:lumMod val="40000"/>
          <a:lumOff val="6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Scroll" dx="22" fmlaLink="$J$43" horiz="1" max="100" page="10" val="50"/>
</file>

<file path=xl/ctrlProps/ctrlProp2.xml><?xml version="1.0" encoding="utf-8"?>
<formControlPr xmlns="http://schemas.microsoft.com/office/spreadsheetml/2009/9/main" objectType="Scroll" dx="22" fmlaLink="$J$39" horiz="1" max="100" page="10" val="5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168087</xdr:colOff>
      <xdr:row>0</xdr:row>
      <xdr:rowOff>134471</xdr:rowOff>
    </xdr:from>
    <xdr:to>
      <xdr:col>5</xdr:col>
      <xdr:colOff>333472</xdr:colOff>
      <xdr:row>5</xdr:row>
      <xdr:rowOff>134471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558" y="134471"/>
          <a:ext cx="2585855" cy="952500"/>
        </a:xfrm>
        <a:prstGeom prst="rect">
          <a:avLst/>
        </a:prstGeom>
        <a:noFill/>
      </xdr:spPr>
    </xdr:pic>
    <xdr:clientData/>
  </xdr:twoCellAnchor>
  <xdr:twoCellAnchor>
    <xdr:from>
      <xdr:col>12</xdr:col>
      <xdr:colOff>52551</xdr:colOff>
      <xdr:row>9</xdr:row>
      <xdr:rowOff>91965</xdr:rowOff>
    </xdr:from>
    <xdr:to>
      <xdr:col>19</xdr:col>
      <xdr:colOff>371475</xdr:colOff>
      <xdr:row>33</xdr:row>
      <xdr:rowOff>95250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6372669" y="1907318"/>
          <a:ext cx="4554747" cy="4575285"/>
          <a:chOff x="32559914" y="1313708"/>
          <a:chExt cx="7602186" cy="5360529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36368182" y="1313708"/>
            <a:ext cx="3793918" cy="2678133"/>
          </a:xfrm>
          <a:prstGeom prst="rect">
            <a:avLst/>
          </a:prstGeom>
          <a:solidFill>
            <a:srgbClr val="92D050">
              <a:alpha val="21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32559914" y="1313708"/>
            <a:ext cx="3797382" cy="2688159"/>
          </a:xfrm>
          <a:prstGeom prst="rect">
            <a:avLst/>
          </a:prstGeom>
          <a:solidFill>
            <a:srgbClr val="FFFF00">
              <a:alpha val="21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36368182" y="4001866"/>
            <a:ext cx="3793918" cy="2672371"/>
          </a:xfrm>
          <a:prstGeom prst="rect">
            <a:avLst/>
          </a:prstGeom>
          <a:solidFill>
            <a:srgbClr val="FFFF00">
              <a:alpha val="21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32559914" y="3996853"/>
            <a:ext cx="3797382" cy="2676883"/>
          </a:xfrm>
          <a:prstGeom prst="rect">
            <a:avLst/>
          </a:prstGeom>
          <a:solidFill>
            <a:srgbClr val="FF0000">
              <a:alpha val="21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oneCellAnchor>
    <xdr:from>
      <xdr:col>16</xdr:col>
      <xdr:colOff>400706</xdr:colOff>
      <xdr:row>14</xdr:row>
      <xdr:rowOff>180029</xdr:rowOff>
    </xdr:from>
    <xdr:ext cx="1259512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154306" y="2294579"/>
          <a:ext cx="12595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chemeClr val="bg1">
                  <a:lumMod val="75000"/>
                </a:schemeClr>
              </a:solidFill>
            </a:rPr>
            <a:t>Good Survivability</a:t>
          </a:r>
        </a:p>
      </xdr:txBody>
    </xdr:sp>
    <xdr:clientData/>
  </xdr:oneCellAnchor>
  <xdr:oneCellAnchor>
    <xdr:from>
      <xdr:col>13</xdr:col>
      <xdr:colOff>6566</xdr:colOff>
      <xdr:row>14</xdr:row>
      <xdr:rowOff>180029</xdr:rowOff>
    </xdr:from>
    <xdr:ext cx="1527854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931366" y="2294579"/>
          <a:ext cx="15278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chemeClr val="bg1">
                  <a:lumMod val="75000"/>
                </a:schemeClr>
              </a:solidFill>
            </a:rPr>
            <a:t>Moderate Survivability</a:t>
          </a:r>
        </a:p>
      </xdr:txBody>
    </xdr:sp>
    <xdr:clientData/>
  </xdr:oneCellAnchor>
  <xdr:oneCellAnchor>
    <xdr:from>
      <xdr:col>16</xdr:col>
      <xdr:colOff>137949</xdr:colOff>
      <xdr:row>26</xdr:row>
      <xdr:rowOff>160318</xdr:rowOff>
    </xdr:from>
    <xdr:ext cx="1527854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9891549" y="4560868"/>
          <a:ext cx="15278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chemeClr val="bg1">
                  <a:lumMod val="75000"/>
                </a:schemeClr>
              </a:solidFill>
            </a:rPr>
            <a:t>Moderate Survivability</a:t>
          </a:r>
        </a:p>
      </xdr:txBody>
    </xdr:sp>
    <xdr:clientData/>
  </xdr:oneCellAnchor>
  <xdr:oneCellAnchor>
    <xdr:from>
      <xdr:col>13</xdr:col>
      <xdr:colOff>26275</xdr:colOff>
      <xdr:row>26</xdr:row>
      <xdr:rowOff>160318</xdr:rowOff>
    </xdr:from>
    <xdr:ext cx="1219116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7951075" y="4560868"/>
          <a:ext cx="121911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chemeClr val="bg1">
                  <a:lumMod val="75000"/>
                </a:schemeClr>
              </a:solidFill>
            </a:rPr>
            <a:t>Poor Survivability</a:t>
          </a:r>
        </a:p>
      </xdr:txBody>
    </xdr:sp>
    <xdr:clientData/>
  </xdr:oneCellAnchor>
  <xdr:oneCellAnchor>
    <xdr:from>
      <xdr:col>15</xdr:col>
      <xdr:colOff>604093</xdr:colOff>
      <xdr:row>17</xdr:row>
      <xdr:rowOff>49912</xdr:rowOff>
    </xdr:from>
    <xdr:ext cx="1379673" cy="248851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9748093" y="2735962"/>
          <a:ext cx="1379673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00" i="1">
              <a:solidFill>
                <a:schemeClr val="bg1">
                  <a:lumMod val="65000"/>
                </a:schemeClr>
              </a:solidFill>
            </a:rPr>
            <a:t>Increasing Survivability</a:t>
          </a:r>
        </a:p>
      </xdr:txBody>
    </xdr:sp>
    <xdr:clientData/>
  </xdr:oneCellAnchor>
  <xdr:oneCellAnchor>
    <xdr:from>
      <xdr:col>13</xdr:col>
      <xdr:colOff>124808</xdr:colOff>
      <xdr:row>24</xdr:row>
      <xdr:rowOff>23386</xdr:rowOff>
    </xdr:from>
    <xdr:ext cx="1421543" cy="248851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8049608" y="4042936"/>
          <a:ext cx="1421543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00" i="1">
              <a:solidFill>
                <a:schemeClr val="bg1">
                  <a:lumMod val="65000"/>
                </a:schemeClr>
              </a:solidFill>
            </a:rPr>
            <a:t>Decreasing Survivability</a:t>
          </a:r>
        </a:p>
      </xdr:txBody>
    </xdr:sp>
    <xdr:clientData/>
  </xdr:oneCellAnchor>
  <xdr:twoCellAnchor>
    <xdr:from>
      <xdr:col>11</xdr:col>
      <xdr:colOff>0</xdr:colOff>
      <xdr:row>7</xdr:row>
      <xdr:rowOff>0</xdr:rowOff>
    </xdr:from>
    <xdr:to>
      <xdr:col>20</xdr:col>
      <xdr:colOff>0</xdr:colOff>
      <xdr:row>38</xdr:row>
      <xdr:rowOff>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9</xdr:col>
          <xdr:colOff>0</xdr:colOff>
          <xdr:row>43</xdr:row>
          <xdr:rowOff>0</xdr:rowOff>
        </xdr:to>
        <xdr:sp macro="" textlink="">
          <xdr:nvSpPr>
            <xdr:cNvPr id="4112" name="Scroll Bar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0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21</xdr:col>
      <xdr:colOff>0</xdr:colOff>
      <xdr:row>16</xdr:row>
      <xdr:rowOff>1</xdr:rowOff>
    </xdr:from>
    <xdr:to>
      <xdr:col>31</xdr:col>
      <xdr:colOff>0</xdr:colOff>
      <xdr:row>24</xdr:row>
      <xdr:rowOff>1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0</xdr:colOff>
      <xdr:row>25</xdr:row>
      <xdr:rowOff>0</xdr:rowOff>
    </xdr:from>
    <xdr:to>
      <xdr:col>31</xdr:col>
      <xdr:colOff>0</xdr:colOff>
      <xdr:row>32</xdr:row>
      <xdr:rowOff>190499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0</xdr:colOff>
      <xdr:row>33</xdr:row>
      <xdr:rowOff>190499</xdr:rowOff>
    </xdr:from>
    <xdr:to>
      <xdr:col>31</xdr:col>
      <xdr:colOff>0</xdr:colOff>
      <xdr:row>42</xdr:row>
      <xdr:rowOff>0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0</xdr:colOff>
      <xdr:row>6</xdr:row>
      <xdr:rowOff>291352</xdr:rowOff>
    </xdr:from>
    <xdr:to>
      <xdr:col>31</xdr:col>
      <xdr:colOff>0</xdr:colOff>
      <xdr:row>14</xdr:row>
      <xdr:rowOff>190499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100852</xdr:colOff>
      <xdr:row>3</xdr:row>
      <xdr:rowOff>179294</xdr:rowOff>
    </xdr:from>
    <xdr:to>
      <xdr:col>31</xdr:col>
      <xdr:colOff>224118</xdr:colOff>
      <xdr:row>6</xdr:row>
      <xdr:rowOff>75807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100852" y="750794"/>
          <a:ext cx="17481178" cy="468013"/>
          <a:chOff x="100852" y="829236"/>
          <a:chExt cx="17481178" cy="468013"/>
        </a:xfrm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100852" y="829236"/>
            <a:ext cx="17021735" cy="46801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en-US" sz="2400" b="0" i="0">
                <a:solidFill>
                  <a:srgbClr val="2B1E7A"/>
                </a:solidFill>
                <a:latin typeface="+mn-lt"/>
                <a:ea typeface="Segoe UI Historic" panose="020B0502040204020203" pitchFamily="34" charset="0"/>
                <a:cs typeface="Segoe UI" panose="020B0502040204020203" pitchFamily="34" charset="0"/>
              </a:rPr>
              <a:t>A Risk Review of Urban Mobility Vehicle Concepts - </a:t>
            </a:r>
            <a:r>
              <a:rPr lang="en-US" sz="2400" b="0" i="1">
                <a:solidFill>
                  <a:srgbClr val="2B1E7A"/>
                </a:solidFill>
                <a:latin typeface="+mn-lt"/>
                <a:ea typeface="Segoe UI Historic" panose="020B0502040204020203" pitchFamily="34" charset="0"/>
                <a:cs typeface="Segoe UI" panose="020B0502040204020203" pitchFamily="34" charset="0"/>
              </a:rPr>
              <a:t>Applying the Evolutionary</a:t>
            </a:r>
            <a:r>
              <a:rPr lang="en-US" sz="2400" b="0" i="1" baseline="0">
                <a:solidFill>
                  <a:srgbClr val="2B1E7A"/>
                </a:solidFill>
                <a:latin typeface="+mn-lt"/>
                <a:ea typeface="Segoe UI Historic" panose="020B0502040204020203" pitchFamily="34" charset="0"/>
                <a:cs typeface="Segoe UI" panose="020B0502040204020203" pitchFamily="34" charset="0"/>
              </a:rPr>
              <a:t> Lessons of the Past to the Future</a:t>
            </a:r>
            <a:endParaRPr lang="en-US" sz="2400" b="0" i="1">
              <a:solidFill>
                <a:srgbClr val="2B1E7A"/>
              </a:solidFill>
              <a:latin typeface="+mn-lt"/>
              <a:ea typeface="Segoe UI Historic" panose="020B0502040204020203" pitchFamily="34" charset="0"/>
              <a:cs typeface="Segoe UI" panose="020B0502040204020203" pitchFamily="34" charset="0"/>
            </a:endParaRPr>
          </a:p>
        </xdr:txBody>
      </xdr:sp>
      <xdr:cxnSp macro="">
        <xdr:nvCxnSpPr>
          <xdr:cNvPr id="19" name="Straight Connector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CxnSpPr/>
        </xdr:nvCxnSpPr>
        <xdr:spPr>
          <a:xfrm flipH="1">
            <a:off x="100854" y="1288677"/>
            <a:ext cx="1748117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0</xdr:rowOff>
        </xdr:from>
        <xdr:to>
          <xdr:col>9</xdr:col>
          <xdr:colOff>0</xdr:colOff>
          <xdr:row>39</xdr:row>
          <xdr:rowOff>0</xdr:rowOff>
        </xdr:to>
        <xdr:sp macro="" textlink="">
          <xdr:nvSpPr>
            <xdr:cNvPr id="4113" name="Scroll Bar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0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50</xdr:row>
      <xdr:rowOff>0</xdr:rowOff>
    </xdr:from>
    <xdr:to>
      <xdr:col>21</xdr:col>
      <xdr:colOff>304800</xdr:colOff>
      <xdr:row>50</xdr:row>
      <xdr:rowOff>304800</xdr:rowOff>
    </xdr:to>
    <xdr:sp macro="" textlink="">
      <xdr:nvSpPr>
        <xdr:cNvPr id="1045" name="AutoShape 21" descr="https://static.wixstatic.com/media/64d192_ca5b2e5f3ac54495be58143393ca5b9f~mv2.jpg/v1/fill/w_487,h_276,al_c,q_80,usm_0.66_1.00_0.01/64d192_ca5b2e5f3ac54495be58143393ca5b9f~mv2.webp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SpPr>
          <a:spLocks noChangeAspect="1" noChangeArrowheads="1"/>
        </xdr:cNvSpPr>
      </xdr:nvSpPr>
      <xdr:spPr bwMode="auto">
        <a:xfrm>
          <a:off x="14782800" y="15659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50</xdr:row>
      <xdr:rowOff>0</xdr:rowOff>
    </xdr:from>
    <xdr:to>
      <xdr:col>21</xdr:col>
      <xdr:colOff>304800</xdr:colOff>
      <xdr:row>50</xdr:row>
      <xdr:rowOff>304800</xdr:rowOff>
    </xdr:to>
    <xdr:sp macro="" textlink="">
      <xdr:nvSpPr>
        <xdr:cNvPr id="1046" name="AutoShape 22" descr="https://static.wixstatic.com/media/64d192_b6908e6e45d1447db62e8f029cba4e71~mv2_d_4000_2251_s_2.jpg/v1/fill/w_981,h_552,al_c,q_85,usm_0.66_1.00_0.01/64d192_b6908e6e45d1447db62e8f029cba4e71~mv2_d_4000_2251_s_2.webp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SpPr>
          <a:spLocks noChangeAspect="1" noChangeArrowheads="1"/>
        </xdr:cNvSpPr>
      </xdr:nvSpPr>
      <xdr:spPr bwMode="auto">
        <a:xfrm>
          <a:off x="14782800" y="15659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369793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0"/>
          <a:ext cx="1815353" cy="3697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ctr"/>
        <a:lstStyle/>
        <a:p>
          <a:pPr algn="ctr"/>
          <a:r>
            <a:rPr lang="en-US" sz="900"/>
            <a:t>Market Weightings</a:t>
          </a: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1</xdr:row>
      <xdr:rowOff>369793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369794"/>
          <a:ext cx="1815353" cy="3697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ctr"/>
        <a:lstStyle/>
        <a:p>
          <a:pPr algn="ctr"/>
          <a:r>
            <a:rPr lang="en-US" sz="900"/>
            <a:t>Market Weightings Modified for the environment</a:t>
          </a:r>
        </a:p>
      </xdr:txBody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2</xdr:row>
      <xdr:rowOff>369793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0" y="739588"/>
          <a:ext cx="1815353" cy="3697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ctr"/>
        <a:lstStyle/>
        <a:p>
          <a:pPr algn="ctr"/>
          <a:r>
            <a:rPr lang="en-US" sz="900"/>
            <a:t>Certification Weightings</a:t>
          </a:r>
        </a:p>
      </xdr:txBody>
    </xdr:sp>
    <xdr:clientData/>
  </xdr:twoCellAnchor>
  <xdr:twoCellAnchor>
    <xdr:from>
      <xdr:col>0</xdr:col>
      <xdr:colOff>0</xdr:colOff>
      <xdr:row>3</xdr:row>
      <xdr:rowOff>0</xdr:rowOff>
    </xdr:from>
    <xdr:to>
      <xdr:col>3</xdr:col>
      <xdr:colOff>0</xdr:colOff>
      <xdr:row>3</xdr:row>
      <xdr:rowOff>369793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0" y="1109382"/>
          <a:ext cx="1815353" cy="3697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ctr"/>
        <a:lstStyle/>
        <a:p>
          <a:pPr algn="ctr"/>
          <a:r>
            <a:rPr lang="en-US" sz="900"/>
            <a:t>Certification weights modified for the environment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hepard.avianovations.com/" TargetMode="External"/><Relationship Id="rId18" Type="http://schemas.openxmlformats.org/officeDocument/2006/relationships/hyperlink" Target="https://www.hoversurf.com/scorpion-3" TargetMode="External"/><Relationship Id="rId26" Type="http://schemas.openxmlformats.org/officeDocument/2006/relationships/hyperlink" Target="http://www.cartercopters.com/" TargetMode="External"/><Relationship Id="rId39" Type="http://schemas.openxmlformats.org/officeDocument/2006/relationships/hyperlink" Target="https://www.verdegoaero.com/" TargetMode="External"/><Relationship Id="rId3" Type="http://schemas.openxmlformats.org/officeDocument/2006/relationships/hyperlink" Target="http://www.ehang.com/ehang184/" TargetMode="External"/><Relationship Id="rId21" Type="http://schemas.openxmlformats.org/officeDocument/2006/relationships/hyperlink" Target="http://passengerdrone.com/" TargetMode="External"/><Relationship Id="rId34" Type="http://schemas.openxmlformats.org/officeDocument/2006/relationships/hyperlink" Target="https://www.alaudaracing.com/" TargetMode="External"/><Relationship Id="rId42" Type="http://schemas.openxmlformats.org/officeDocument/2006/relationships/hyperlink" Target="https://www.sabrewingaircraft.com/" TargetMode="External"/><Relationship Id="rId47" Type="http://schemas.openxmlformats.org/officeDocument/2006/relationships/hyperlink" Target="https://www.uber.com/info/elevate/" TargetMode="External"/><Relationship Id="rId50" Type="http://schemas.openxmlformats.org/officeDocument/2006/relationships/hyperlink" Target="http://synergyaircraft.com/" TargetMode="External"/><Relationship Id="rId7" Type="http://schemas.openxmlformats.org/officeDocument/2006/relationships/hyperlink" Target="https://www.eviation.co/" TargetMode="External"/><Relationship Id="rId12" Type="http://schemas.openxmlformats.org/officeDocument/2006/relationships/hyperlink" Target="http://airspacex.com/" TargetMode="External"/><Relationship Id="rId17" Type="http://schemas.openxmlformats.org/officeDocument/2006/relationships/hyperlink" Target="https://www.hoversurf.com/formula" TargetMode="External"/><Relationship Id="rId25" Type="http://schemas.openxmlformats.org/officeDocument/2006/relationships/hyperlink" Target="http://autonomousflight.com/" TargetMode="External"/><Relationship Id="rId33" Type="http://schemas.openxmlformats.org/officeDocument/2006/relationships/hyperlink" Target="http://www.martinjetpack.com/" TargetMode="External"/><Relationship Id="rId38" Type="http://schemas.openxmlformats.org/officeDocument/2006/relationships/hyperlink" Target="http://www.neva-aero.com/" TargetMode="External"/><Relationship Id="rId46" Type="http://schemas.openxmlformats.org/officeDocument/2006/relationships/hyperlink" Target="https://lilium.com/" TargetMode="External"/><Relationship Id="rId2" Type="http://schemas.openxmlformats.org/officeDocument/2006/relationships/hyperlink" Target="http://www.airbus.com/newsroom/press-releases/en/2018/02/vahana--the-self-piloted--evtol-aircraft-from-a--by-airbus--succ.html" TargetMode="External"/><Relationship Id="rId16" Type="http://schemas.openxmlformats.org/officeDocument/2006/relationships/hyperlink" Target="https://www.linkedin.com/in/gary-daprato-5708a597/" TargetMode="External"/><Relationship Id="rId20" Type="http://schemas.openxmlformats.org/officeDocument/2006/relationships/hyperlink" Target="https://kalashnikov.com/en/" TargetMode="External"/><Relationship Id="rId29" Type="http://schemas.openxmlformats.org/officeDocument/2006/relationships/hyperlink" Target="http://flexcraft.pt/en/" TargetMode="External"/><Relationship Id="rId41" Type="http://schemas.openxmlformats.org/officeDocument/2006/relationships/hyperlink" Target="https://www.ampaire.com/" TargetMode="External"/><Relationship Id="rId1" Type="http://schemas.openxmlformats.org/officeDocument/2006/relationships/hyperlink" Target="https://www.volocopter.com/en/product/" TargetMode="External"/><Relationship Id="rId6" Type="http://schemas.openxmlformats.org/officeDocument/2006/relationships/hyperlink" Target="https://www.aeromobil.com/evolution/" TargetMode="External"/><Relationship Id="rId11" Type="http://schemas.openxmlformats.org/officeDocument/2006/relationships/hyperlink" Target="http://www.zee.aero/" TargetMode="External"/><Relationship Id="rId24" Type="http://schemas.openxmlformats.org/officeDocument/2006/relationships/hyperlink" Target="http://workhorse.com/index.php/surefly" TargetMode="External"/><Relationship Id="rId32" Type="http://schemas.openxmlformats.org/officeDocument/2006/relationships/hyperlink" Target="https://www.linkedin.com/company/skylysaircraft%C2%AE/" TargetMode="External"/><Relationship Id="rId37" Type="http://schemas.openxmlformats.org/officeDocument/2006/relationships/hyperlink" Target="http://www.hover-bike.com/" TargetMode="External"/><Relationship Id="rId40" Type="http://schemas.openxmlformats.org/officeDocument/2006/relationships/hyperlink" Target="https://www.airisaero.com/airis1/" TargetMode="External"/><Relationship Id="rId45" Type="http://schemas.openxmlformats.org/officeDocument/2006/relationships/hyperlink" Target="https://lilium.com/" TargetMode="External"/><Relationship Id="rId5" Type="http://schemas.openxmlformats.org/officeDocument/2006/relationships/hyperlink" Target="https://www.terrafugia.com/tf-x/" TargetMode="External"/><Relationship Id="rId15" Type="http://schemas.openxmlformats.org/officeDocument/2006/relationships/hyperlink" Target="http://cartivator.com/skydrive" TargetMode="External"/><Relationship Id="rId23" Type="http://schemas.openxmlformats.org/officeDocument/2006/relationships/hyperlink" Target="http://vrco.co.uk/the-project/" TargetMode="External"/><Relationship Id="rId28" Type="http://schemas.openxmlformats.org/officeDocument/2006/relationships/hyperlink" Target="http://eva.xyz/" TargetMode="External"/><Relationship Id="rId36" Type="http://schemas.openxmlformats.org/officeDocument/2006/relationships/hyperlink" Target="http://flytaerospace.com/flytcycle/" TargetMode="External"/><Relationship Id="rId49" Type="http://schemas.openxmlformats.org/officeDocument/2006/relationships/hyperlink" Target="http://www.solar-flight.com/projects/solar-6-seat-transporter/" TargetMode="External"/><Relationship Id="rId10" Type="http://schemas.openxmlformats.org/officeDocument/2006/relationships/hyperlink" Target="http://www.xtiaircraft.com/home/" TargetMode="External"/><Relationship Id="rId19" Type="http://schemas.openxmlformats.org/officeDocument/2006/relationships/hyperlink" Target="http://www.jetpackaviation.com/" TargetMode="External"/><Relationship Id="rId31" Type="http://schemas.openxmlformats.org/officeDocument/2006/relationships/hyperlink" Target="http://www.aero.jaxa.jp/research/basic/propulsion/liftfan/" TargetMode="External"/><Relationship Id="rId44" Type="http://schemas.openxmlformats.org/officeDocument/2006/relationships/hyperlink" Target="http://www.aurora.aero/" TargetMode="External"/><Relationship Id="rId4" Type="http://schemas.openxmlformats.org/officeDocument/2006/relationships/hyperlink" Target="https://www.terrafugia.com/the-transition/" TargetMode="External"/><Relationship Id="rId9" Type="http://schemas.openxmlformats.org/officeDocument/2006/relationships/hyperlink" Target="https://vimana.global/products.html" TargetMode="External"/><Relationship Id="rId14" Type="http://schemas.openxmlformats.org/officeDocument/2006/relationships/hyperlink" Target="https://www.bartini.aero/" TargetMode="External"/><Relationship Id="rId22" Type="http://schemas.openxmlformats.org/officeDocument/2006/relationships/hyperlink" Target="http://www.pav-x.com/" TargetMode="External"/><Relationship Id="rId27" Type="http://schemas.openxmlformats.org/officeDocument/2006/relationships/hyperlink" Target="http://digirobotics.com/" TargetMode="External"/><Relationship Id="rId30" Type="http://schemas.openxmlformats.org/officeDocument/2006/relationships/hyperlink" Target="https://hopflyt.com/" TargetMode="External"/><Relationship Id="rId35" Type="http://schemas.openxmlformats.org/officeDocument/2006/relationships/hyperlink" Target="http://da-vinci.us/ZeroG.php" TargetMode="External"/><Relationship Id="rId43" Type="http://schemas.openxmlformats.org/officeDocument/2006/relationships/hyperlink" Target="http://s619764129.onlinehome.us/" TargetMode="External"/><Relationship Id="rId48" Type="http://schemas.openxmlformats.org/officeDocument/2006/relationships/hyperlink" Target="https://www.onera.fr/en/aeronautics" TargetMode="External"/><Relationship Id="rId8" Type="http://schemas.openxmlformats.org/officeDocument/2006/relationships/hyperlink" Target="http://www.urbanaero.com/" TargetMode="External"/><Relationship Id="rId51" Type="http://schemas.openxmlformats.org/officeDocument/2006/relationships/hyperlink" Target="https://www.pal-v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05595-0591-4207-83AF-1D33F3F9CC33}">
  <sheetPr codeName="Sheet1"/>
  <dimension ref="A7:T46"/>
  <sheetViews>
    <sheetView showGridLines="0" tabSelected="1" zoomScale="85" zoomScaleNormal="85" workbookViewId="0">
      <selection activeCell="I8" sqref="I8"/>
    </sheetView>
  </sheetViews>
  <sheetFormatPr defaultRowHeight="15"/>
  <cols>
    <col min="1" max="1" width="2" customWidth="1"/>
    <col min="11" max="11" width="2" customWidth="1"/>
    <col min="21" max="21" width="2.140625" customWidth="1"/>
  </cols>
  <sheetData>
    <row r="7" spans="1:20" ht="23.25">
      <c r="B7" s="16"/>
      <c r="L7" s="17"/>
    </row>
    <row r="8" spans="1:20">
      <c r="L8" s="14"/>
      <c r="M8" s="14"/>
      <c r="N8" s="14"/>
      <c r="O8" s="14"/>
      <c r="P8" s="14"/>
      <c r="Q8" s="14"/>
      <c r="R8" s="14"/>
      <c r="S8" s="14"/>
      <c r="T8" s="14"/>
    </row>
    <row r="9" spans="1:20">
      <c r="A9" s="38"/>
      <c r="B9" s="49" t="s">
        <v>23</v>
      </c>
      <c r="C9" s="38"/>
      <c r="D9" s="38"/>
      <c r="E9" s="38"/>
      <c r="F9" s="38"/>
      <c r="G9" s="38"/>
      <c r="H9" s="38"/>
      <c r="I9" s="38"/>
      <c r="J9" s="38"/>
      <c r="L9" s="14"/>
      <c r="M9" s="14"/>
      <c r="N9" s="14"/>
      <c r="O9" s="14"/>
      <c r="P9" s="14"/>
      <c r="Q9" s="14"/>
      <c r="R9" s="14"/>
      <c r="S9" s="14"/>
      <c r="T9" s="14"/>
    </row>
    <row r="10" spans="1:20">
      <c r="A10" s="38"/>
      <c r="B10" s="38"/>
      <c r="C10" s="41">
        <v>1</v>
      </c>
      <c r="D10" s="40" t="s">
        <v>12</v>
      </c>
      <c r="E10" s="38"/>
      <c r="F10" s="38"/>
      <c r="G10" s="38"/>
      <c r="H10" s="38"/>
      <c r="I10" s="38"/>
      <c r="J10" s="38"/>
      <c r="L10" s="14"/>
      <c r="M10" s="14"/>
      <c r="N10" s="14"/>
      <c r="O10" s="14"/>
      <c r="P10" s="14"/>
      <c r="Q10" s="14"/>
      <c r="R10" s="14"/>
      <c r="S10" s="14"/>
      <c r="T10" s="14"/>
    </row>
    <row r="11" spans="1:20">
      <c r="A11" s="38"/>
      <c r="B11" s="49" t="s">
        <v>24</v>
      </c>
      <c r="C11" s="38"/>
      <c r="D11" s="38"/>
      <c r="E11" s="38"/>
      <c r="F11" s="38"/>
      <c r="G11" s="38"/>
      <c r="H11" s="38"/>
      <c r="I11" s="38"/>
      <c r="J11" s="38"/>
      <c r="L11" s="14"/>
      <c r="M11" s="14"/>
      <c r="N11" s="14"/>
      <c r="O11" s="14"/>
      <c r="P11" s="14"/>
      <c r="Q11" s="14"/>
      <c r="R11" s="14"/>
      <c r="S11" s="14"/>
      <c r="T11" s="14"/>
    </row>
    <row r="12" spans="1:20">
      <c r="A12" s="38"/>
      <c r="B12" s="38"/>
      <c r="C12" s="41">
        <v>0</v>
      </c>
      <c r="D12" s="40" t="s">
        <v>13</v>
      </c>
      <c r="E12" s="38"/>
      <c r="F12" s="38"/>
      <c r="G12" s="38"/>
      <c r="H12" s="38"/>
      <c r="I12" s="38"/>
      <c r="J12" s="38"/>
      <c r="L12" s="14"/>
      <c r="M12" s="14"/>
      <c r="N12" s="14"/>
      <c r="O12" s="14"/>
      <c r="P12" s="14"/>
      <c r="Q12" s="14"/>
      <c r="R12" s="14"/>
      <c r="S12" s="14"/>
      <c r="T12" s="14"/>
    </row>
    <row r="13" spans="1:20">
      <c r="A13" s="38"/>
      <c r="B13" s="49" t="s">
        <v>25</v>
      </c>
      <c r="C13" s="38"/>
      <c r="D13" s="38"/>
      <c r="E13" s="38"/>
      <c r="F13" s="38"/>
      <c r="G13" s="38"/>
      <c r="H13" s="38"/>
      <c r="I13" s="38"/>
      <c r="J13" s="38"/>
      <c r="L13" s="14"/>
      <c r="M13" s="14"/>
      <c r="N13" s="14"/>
      <c r="O13" s="14"/>
      <c r="P13" s="14"/>
      <c r="Q13" s="14"/>
      <c r="R13" s="14"/>
      <c r="S13" s="14"/>
      <c r="T13" s="14"/>
    </row>
    <row r="14" spans="1:20">
      <c r="A14" s="38"/>
      <c r="B14" s="38"/>
      <c r="C14" s="41">
        <v>1</v>
      </c>
      <c r="D14" s="40" t="s">
        <v>14</v>
      </c>
      <c r="E14" s="38"/>
      <c r="F14" s="38"/>
      <c r="G14" s="38"/>
      <c r="H14" s="38"/>
      <c r="I14" s="38"/>
      <c r="J14" s="38"/>
      <c r="L14" s="14"/>
      <c r="M14" s="14"/>
      <c r="N14" s="14"/>
      <c r="O14" s="14"/>
      <c r="P14" s="14"/>
      <c r="Q14" s="14"/>
      <c r="R14" s="14"/>
      <c r="S14" s="14"/>
      <c r="T14" s="14"/>
    </row>
    <row r="15" spans="1:20">
      <c r="A15" s="38"/>
      <c r="B15" s="56" t="s">
        <v>26</v>
      </c>
      <c r="C15" s="56"/>
      <c r="D15" s="56"/>
      <c r="E15" s="56"/>
      <c r="F15" s="56"/>
      <c r="G15" s="56"/>
      <c r="H15" s="56"/>
      <c r="I15" s="56"/>
      <c r="J15" s="56"/>
      <c r="L15" s="14"/>
      <c r="M15" s="14"/>
      <c r="N15" s="14"/>
      <c r="O15" s="14"/>
      <c r="P15" s="14"/>
      <c r="Q15" s="14"/>
      <c r="R15" s="14"/>
      <c r="S15" s="14"/>
      <c r="T15" s="14"/>
    </row>
    <row r="16" spans="1:20">
      <c r="A16" s="38"/>
      <c r="B16" s="56"/>
      <c r="C16" s="56"/>
      <c r="D16" s="56"/>
      <c r="E16" s="56"/>
      <c r="F16" s="56"/>
      <c r="G16" s="56"/>
      <c r="H16" s="56"/>
      <c r="I16" s="56"/>
      <c r="J16" s="56"/>
      <c r="L16" s="14"/>
      <c r="M16" s="14"/>
      <c r="N16" s="14"/>
      <c r="O16" s="14"/>
      <c r="P16" s="14"/>
      <c r="Q16" s="14"/>
      <c r="R16" s="14"/>
      <c r="S16" s="14"/>
      <c r="T16" s="14"/>
    </row>
    <row r="17" spans="1:20">
      <c r="A17" s="38"/>
      <c r="B17" s="38"/>
      <c r="C17" s="41">
        <v>0</v>
      </c>
      <c r="D17" s="40" t="s">
        <v>15</v>
      </c>
      <c r="E17" s="38"/>
      <c r="F17" s="38"/>
      <c r="G17" s="38"/>
      <c r="H17" s="38"/>
      <c r="I17" s="38"/>
      <c r="J17" s="38"/>
      <c r="L17" s="14"/>
      <c r="M17" s="14"/>
      <c r="N17" s="14"/>
      <c r="O17" s="14"/>
      <c r="P17" s="14"/>
      <c r="Q17" s="14"/>
      <c r="R17" s="14"/>
      <c r="S17" s="14"/>
      <c r="T17" s="14"/>
    </row>
    <row r="18" spans="1:20">
      <c r="A18" s="38"/>
      <c r="B18" s="57" t="s">
        <v>27</v>
      </c>
      <c r="C18" s="57"/>
      <c r="D18" s="57"/>
      <c r="E18" s="57"/>
      <c r="F18" s="57"/>
      <c r="G18" s="57"/>
      <c r="H18" s="57"/>
      <c r="I18" s="57"/>
      <c r="J18" s="57"/>
      <c r="L18" s="14"/>
      <c r="M18" s="14"/>
      <c r="N18" s="14"/>
      <c r="O18" s="14"/>
      <c r="P18" s="14"/>
      <c r="Q18" s="14"/>
      <c r="R18" s="14"/>
      <c r="S18" s="14"/>
      <c r="T18" s="14"/>
    </row>
    <row r="19" spans="1:20">
      <c r="A19" s="38"/>
      <c r="B19" s="57"/>
      <c r="C19" s="57"/>
      <c r="D19" s="57"/>
      <c r="E19" s="57"/>
      <c r="F19" s="57"/>
      <c r="G19" s="57"/>
      <c r="H19" s="57"/>
      <c r="I19" s="57"/>
      <c r="J19" s="57"/>
      <c r="L19" s="14"/>
      <c r="M19" s="14"/>
      <c r="N19" s="14"/>
      <c r="O19" s="14"/>
      <c r="P19" s="14"/>
      <c r="Q19" s="14"/>
      <c r="R19" s="14"/>
      <c r="S19" s="14"/>
      <c r="T19" s="14"/>
    </row>
    <row r="20" spans="1:20">
      <c r="A20" s="38"/>
      <c r="B20" s="38"/>
      <c r="C20" s="41">
        <v>2</v>
      </c>
      <c r="D20" s="40" t="s">
        <v>16</v>
      </c>
      <c r="E20" s="38"/>
      <c r="F20" s="38"/>
      <c r="G20" s="38"/>
      <c r="H20" s="38"/>
      <c r="I20" s="38"/>
      <c r="J20" s="38"/>
      <c r="L20" s="14"/>
      <c r="M20" s="14"/>
      <c r="N20" s="14"/>
      <c r="O20" s="14"/>
      <c r="P20" s="14"/>
      <c r="Q20" s="14"/>
      <c r="R20" s="14"/>
      <c r="S20" s="14"/>
      <c r="T20" s="14"/>
    </row>
    <row r="21" spans="1:20">
      <c r="A21" s="38"/>
      <c r="B21" s="56" t="s">
        <v>51</v>
      </c>
      <c r="C21" s="56"/>
      <c r="D21" s="56"/>
      <c r="E21" s="56"/>
      <c r="F21" s="56"/>
      <c r="G21" s="56"/>
      <c r="H21" s="56"/>
      <c r="I21" s="56"/>
      <c r="J21" s="56"/>
      <c r="L21" s="14"/>
      <c r="M21" s="14"/>
      <c r="N21" s="14"/>
      <c r="O21" s="14"/>
      <c r="P21" s="14"/>
      <c r="Q21" s="14"/>
      <c r="R21" s="14"/>
      <c r="S21" s="14"/>
      <c r="T21" s="14"/>
    </row>
    <row r="22" spans="1:20">
      <c r="A22" s="38"/>
      <c r="B22" s="56"/>
      <c r="C22" s="56"/>
      <c r="D22" s="56"/>
      <c r="E22" s="56"/>
      <c r="F22" s="56"/>
      <c r="G22" s="56"/>
      <c r="H22" s="56"/>
      <c r="I22" s="56"/>
      <c r="J22" s="56"/>
      <c r="L22" s="14"/>
      <c r="M22" s="14"/>
      <c r="N22" s="14"/>
      <c r="O22" s="14"/>
      <c r="P22" s="14"/>
      <c r="Q22" s="14"/>
      <c r="R22" s="14"/>
      <c r="S22" s="14"/>
      <c r="T22" s="14"/>
    </row>
    <row r="23" spans="1:20">
      <c r="A23" s="38"/>
      <c r="B23" s="38"/>
      <c r="C23" s="41">
        <v>1</v>
      </c>
      <c r="D23" s="40" t="s">
        <v>17</v>
      </c>
      <c r="E23" s="38"/>
      <c r="F23" s="38"/>
      <c r="G23" s="38"/>
      <c r="H23" s="38"/>
      <c r="I23" s="38"/>
      <c r="J23" s="38"/>
      <c r="L23" s="14"/>
      <c r="M23" s="14"/>
      <c r="N23" s="14"/>
      <c r="O23" s="14"/>
      <c r="P23" s="14"/>
      <c r="Q23" s="14"/>
      <c r="R23" s="14"/>
      <c r="S23" s="14"/>
      <c r="T23" s="14"/>
    </row>
    <row r="24" spans="1:20">
      <c r="A24" s="38"/>
      <c r="B24" s="49" t="s">
        <v>28</v>
      </c>
      <c r="C24" s="38"/>
      <c r="D24" s="38"/>
      <c r="E24" s="38"/>
      <c r="F24" s="38"/>
      <c r="G24" s="38"/>
      <c r="H24" s="38"/>
      <c r="I24" s="38"/>
      <c r="J24" s="38"/>
      <c r="L24" s="14"/>
      <c r="M24" s="14"/>
      <c r="N24" s="14"/>
      <c r="O24" s="14"/>
      <c r="P24" s="14"/>
      <c r="Q24" s="14"/>
      <c r="R24" s="14"/>
      <c r="S24" s="14"/>
      <c r="T24" s="14"/>
    </row>
    <row r="25" spans="1:20">
      <c r="A25" s="38"/>
      <c r="B25" s="38"/>
      <c r="C25" s="42">
        <v>5</v>
      </c>
      <c r="D25" s="40" t="s">
        <v>18</v>
      </c>
      <c r="E25" s="38"/>
      <c r="F25" s="38"/>
      <c r="G25" s="38"/>
      <c r="H25" s="38"/>
      <c r="I25" s="38"/>
      <c r="J25" s="38"/>
      <c r="L25" s="14"/>
      <c r="M25" s="14"/>
      <c r="N25" s="14"/>
      <c r="O25" s="14"/>
      <c r="P25" s="14"/>
      <c r="Q25" s="14"/>
      <c r="R25" s="14"/>
      <c r="S25" s="14"/>
      <c r="T25" s="14"/>
    </row>
    <row r="26" spans="1:20">
      <c r="A26" s="38"/>
      <c r="B26" s="49" t="s">
        <v>29</v>
      </c>
      <c r="C26" s="38"/>
      <c r="D26" s="38"/>
      <c r="E26" s="38"/>
      <c r="F26" s="38"/>
      <c r="G26" s="38"/>
      <c r="H26" s="38"/>
      <c r="I26" s="38"/>
      <c r="J26" s="38"/>
      <c r="L26" s="14"/>
      <c r="M26" s="14"/>
      <c r="N26" s="14"/>
      <c r="O26" s="14"/>
      <c r="P26" s="14"/>
      <c r="Q26" s="14"/>
      <c r="R26" s="14"/>
      <c r="S26" s="14"/>
      <c r="T26" s="14"/>
    </row>
    <row r="27" spans="1:20">
      <c r="A27" s="38"/>
      <c r="B27" s="38"/>
      <c r="C27" s="41">
        <v>4</v>
      </c>
      <c r="D27" s="40" t="s">
        <v>19</v>
      </c>
      <c r="E27" s="38"/>
      <c r="F27" s="38"/>
      <c r="G27" s="38"/>
      <c r="H27" s="38"/>
      <c r="I27" s="38"/>
      <c r="J27" s="38"/>
      <c r="L27" s="14"/>
      <c r="M27" s="14"/>
      <c r="N27" s="14"/>
      <c r="O27" s="14"/>
      <c r="P27" s="14"/>
      <c r="Q27" s="14"/>
      <c r="R27" s="14"/>
      <c r="S27" s="14"/>
      <c r="T27" s="14"/>
    </row>
    <row r="28" spans="1:20">
      <c r="A28" s="38"/>
      <c r="B28" s="57" t="s">
        <v>32</v>
      </c>
      <c r="C28" s="57"/>
      <c r="D28" s="57"/>
      <c r="E28" s="57"/>
      <c r="F28" s="57"/>
      <c r="G28" s="57"/>
      <c r="H28" s="57"/>
      <c r="I28" s="57"/>
      <c r="J28" s="57"/>
      <c r="L28" s="14"/>
      <c r="M28" s="14"/>
      <c r="N28" s="14"/>
      <c r="O28" s="14"/>
      <c r="P28" s="14"/>
      <c r="Q28" s="14"/>
      <c r="R28" s="14"/>
      <c r="S28" s="14"/>
      <c r="T28" s="14"/>
    </row>
    <row r="29" spans="1:20">
      <c r="A29" s="38"/>
      <c r="B29" s="57"/>
      <c r="C29" s="57"/>
      <c r="D29" s="57"/>
      <c r="E29" s="57"/>
      <c r="F29" s="57"/>
      <c r="G29" s="57"/>
      <c r="H29" s="57"/>
      <c r="I29" s="57"/>
      <c r="J29" s="57"/>
      <c r="L29" s="14"/>
      <c r="M29" s="14"/>
      <c r="N29" s="14"/>
      <c r="O29" s="14"/>
      <c r="P29" s="14"/>
      <c r="Q29" s="14"/>
      <c r="R29" s="14"/>
      <c r="S29" s="14"/>
      <c r="T29" s="14"/>
    </row>
    <row r="30" spans="1:20">
      <c r="A30" s="38"/>
      <c r="B30" s="38"/>
      <c r="C30" s="42">
        <v>3</v>
      </c>
      <c r="D30" s="40" t="s">
        <v>20</v>
      </c>
      <c r="E30" s="38"/>
      <c r="F30" s="38"/>
      <c r="G30" s="38"/>
      <c r="H30" s="38"/>
      <c r="I30" s="38"/>
      <c r="J30" s="38"/>
      <c r="L30" s="14"/>
      <c r="M30" s="14"/>
      <c r="N30" s="14"/>
      <c r="O30" s="14"/>
      <c r="P30" s="14"/>
      <c r="Q30" s="14"/>
      <c r="R30" s="14"/>
      <c r="S30" s="14"/>
      <c r="T30" s="14"/>
    </row>
    <row r="31" spans="1:20">
      <c r="A31" s="38"/>
      <c r="B31" s="56" t="s">
        <v>30</v>
      </c>
      <c r="C31" s="56"/>
      <c r="D31" s="56"/>
      <c r="E31" s="56"/>
      <c r="F31" s="56"/>
      <c r="G31" s="56"/>
      <c r="H31" s="56"/>
      <c r="I31" s="56"/>
      <c r="J31" s="56"/>
      <c r="L31" s="14"/>
      <c r="M31" s="14"/>
      <c r="N31" s="14"/>
      <c r="O31" s="14"/>
      <c r="P31" s="14"/>
      <c r="Q31" s="14"/>
      <c r="R31" s="14"/>
      <c r="S31" s="14"/>
      <c r="T31" s="14"/>
    </row>
    <row r="32" spans="1:20">
      <c r="A32" s="38"/>
      <c r="B32" s="56"/>
      <c r="C32" s="56"/>
      <c r="D32" s="56"/>
      <c r="E32" s="56"/>
      <c r="F32" s="56"/>
      <c r="G32" s="56"/>
      <c r="H32" s="56"/>
      <c r="I32" s="56"/>
      <c r="J32" s="56"/>
      <c r="K32" s="11"/>
      <c r="L32" s="15"/>
      <c r="M32" s="15"/>
      <c r="N32" s="14"/>
      <c r="O32" s="14"/>
      <c r="P32" s="14"/>
      <c r="Q32" s="14"/>
      <c r="R32" s="14"/>
      <c r="S32" s="14"/>
      <c r="T32" s="14"/>
    </row>
    <row r="33" spans="1:20">
      <c r="A33" s="38"/>
      <c r="B33" s="38"/>
      <c r="C33" s="42">
        <v>7</v>
      </c>
      <c r="D33" s="40" t="s">
        <v>21</v>
      </c>
      <c r="E33" s="38"/>
      <c r="F33" s="38"/>
      <c r="G33" s="38"/>
      <c r="H33" s="39"/>
      <c r="I33" s="39"/>
      <c r="J33" s="39"/>
      <c r="K33" s="11"/>
      <c r="L33" s="15"/>
      <c r="M33" s="15"/>
      <c r="N33" s="14"/>
      <c r="O33" s="14"/>
      <c r="P33" s="14"/>
      <c r="Q33" s="14"/>
      <c r="R33" s="14"/>
      <c r="S33" s="14"/>
      <c r="T33" s="14"/>
    </row>
    <row r="34" spans="1:20">
      <c r="A34" s="38"/>
      <c r="B34" s="49" t="s">
        <v>31</v>
      </c>
      <c r="C34" s="38"/>
      <c r="D34" s="38"/>
      <c r="E34" s="38"/>
      <c r="F34" s="38"/>
      <c r="G34" s="38"/>
      <c r="H34" s="39"/>
      <c r="I34" s="39"/>
      <c r="J34" s="39"/>
      <c r="K34" s="11"/>
      <c r="L34" s="15"/>
      <c r="M34" s="15"/>
      <c r="N34" s="14"/>
      <c r="O34" s="14"/>
      <c r="P34" s="14"/>
      <c r="Q34" s="14"/>
      <c r="R34" s="14"/>
      <c r="S34" s="14"/>
      <c r="T34" s="14"/>
    </row>
    <row r="35" spans="1:20">
      <c r="A35" s="38"/>
      <c r="B35" s="38"/>
      <c r="C35" s="41">
        <v>1</v>
      </c>
      <c r="D35" s="40" t="s">
        <v>22</v>
      </c>
      <c r="E35" s="38"/>
      <c r="F35" s="38"/>
      <c r="G35" s="38"/>
      <c r="H35" s="39"/>
      <c r="I35" s="39"/>
      <c r="J35" s="39"/>
      <c r="K35" s="11"/>
      <c r="L35" s="15"/>
      <c r="M35" s="15"/>
      <c r="N35" s="14"/>
      <c r="O35" s="14"/>
      <c r="P35" s="14"/>
      <c r="Q35" s="14"/>
      <c r="R35" s="14"/>
      <c r="S35" s="14"/>
      <c r="T35" s="14"/>
    </row>
    <row r="36" spans="1:20">
      <c r="A36" s="38"/>
      <c r="B36" s="38"/>
      <c r="C36" s="38"/>
      <c r="D36" s="38"/>
      <c r="E36" s="38"/>
      <c r="F36" s="38"/>
      <c r="G36" s="39"/>
      <c r="H36" s="39"/>
      <c r="I36" s="39"/>
      <c r="J36" s="39"/>
      <c r="K36" s="11"/>
      <c r="L36" s="15"/>
      <c r="M36" s="15"/>
      <c r="N36" s="14"/>
      <c r="O36" s="14"/>
      <c r="P36" s="14"/>
      <c r="Q36" s="14"/>
      <c r="R36" s="14"/>
      <c r="S36" s="14"/>
      <c r="T36" s="14"/>
    </row>
    <row r="37" spans="1:20">
      <c r="A37" s="38"/>
      <c r="B37" s="43" t="s">
        <v>33</v>
      </c>
      <c r="C37" s="43"/>
      <c r="D37" s="44"/>
      <c r="E37" s="44"/>
      <c r="F37" s="44"/>
      <c r="G37" s="44"/>
      <c r="H37" s="44"/>
      <c r="I37" s="43"/>
      <c r="J37" s="44"/>
      <c r="L37" s="14"/>
      <c r="M37" s="14"/>
      <c r="N37" s="14"/>
      <c r="O37" s="14"/>
      <c r="P37" s="14"/>
      <c r="Q37" s="14"/>
      <c r="R37" s="14"/>
      <c r="S37" s="14"/>
      <c r="T37" s="14"/>
    </row>
    <row r="38" spans="1:20">
      <c r="A38" s="38"/>
      <c r="B38" s="43"/>
      <c r="C38" s="45" t="s">
        <v>38</v>
      </c>
      <c r="D38" s="43"/>
      <c r="E38" s="43"/>
      <c r="F38" s="43"/>
      <c r="G38" s="43"/>
      <c r="H38" s="43"/>
      <c r="I38" s="46" t="s">
        <v>34</v>
      </c>
      <c r="J38" s="43"/>
      <c r="L38" s="14"/>
      <c r="M38" s="14"/>
      <c r="N38" s="14"/>
      <c r="O38" s="14"/>
      <c r="P38" s="14"/>
      <c r="Q38" s="14"/>
      <c r="R38" s="14"/>
      <c r="S38" s="14"/>
      <c r="T38" s="14"/>
    </row>
    <row r="39" spans="1:20">
      <c r="A39" s="38"/>
      <c r="B39" s="43"/>
      <c r="C39" s="43"/>
      <c r="D39" s="43"/>
      <c r="E39" s="43"/>
      <c r="F39" s="43"/>
      <c r="G39" s="43"/>
      <c r="H39" s="43"/>
      <c r="I39" s="43"/>
      <c r="J39" s="48">
        <v>50</v>
      </c>
    </row>
    <row r="40" spans="1:20">
      <c r="A40" s="38"/>
      <c r="B40" s="43"/>
      <c r="C40" s="43"/>
      <c r="D40" s="43"/>
      <c r="E40" s="43"/>
      <c r="F40" s="43"/>
      <c r="G40" s="43"/>
      <c r="H40" s="43"/>
      <c r="I40" s="43"/>
      <c r="J40" s="48"/>
    </row>
    <row r="41" spans="1:20">
      <c r="A41" s="38"/>
      <c r="B41" s="43" t="s">
        <v>35</v>
      </c>
      <c r="C41" s="43"/>
      <c r="D41" s="43"/>
      <c r="E41" s="43"/>
      <c r="F41" s="43"/>
      <c r="G41" s="43"/>
      <c r="H41" s="43"/>
      <c r="I41" s="43"/>
      <c r="J41" s="48"/>
    </row>
    <row r="42" spans="1:20">
      <c r="A42" s="38"/>
      <c r="B42" s="43"/>
      <c r="C42" s="45" t="s">
        <v>36</v>
      </c>
      <c r="D42" s="47"/>
      <c r="E42" s="47"/>
      <c r="F42" s="47"/>
      <c r="G42" s="47"/>
      <c r="H42" s="47"/>
      <c r="I42" s="46" t="s">
        <v>37</v>
      </c>
      <c r="J42" s="48"/>
    </row>
    <row r="43" spans="1:20">
      <c r="A43" s="38"/>
      <c r="B43" s="43"/>
      <c r="C43" s="43"/>
      <c r="D43" s="43"/>
      <c r="E43" s="43"/>
      <c r="F43" s="43"/>
      <c r="G43" s="43"/>
      <c r="H43" s="43"/>
      <c r="I43" s="43"/>
      <c r="J43" s="48">
        <v>50</v>
      </c>
    </row>
    <row r="44" spans="1:20">
      <c r="A44" s="38"/>
      <c r="B44" s="43"/>
      <c r="C44" s="43"/>
      <c r="D44" s="43"/>
      <c r="E44" s="43"/>
      <c r="F44" s="43"/>
      <c r="G44" s="43"/>
      <c r="H44" s="43"/>
      <c r="I44" s="43"/>
      <c r="J44" s="43"/>
    </row>
    <row r="45" spans="1:20">
      <c r="A45" s="38"/>
      <c r="B45" s="38"/>
      <c r="C45" s="38"/>
      <c r="D45" s="38"/>
      <c r="E45" s="38"/>
      <c r="F45" s="38"/>
      <c r="G45" s="38"/>
      <c r="H45" s="38"/>
      <c r="I45" s="38"/>
      <c r="J45" s="38"/>
    </row>
    <row r="46" spans="1:20">
      <c r="A46" s="38"/>
      <c r="B46" s="38"/>
      <c r="C46" s="38"/>
      <c r="D46" s="38"/>
      <c r="E46" s="38"/>
      <c r="F46" s="38"/>
      <c r="G46" s="38"/>
      <c r="H46" s="38"/>
      <c r="I46" s="38"/>
      <c r="J46" s="38"/>
    </row>
  </sheetData>
  <mergeCells count="5">
    <mergeCell ref="B15:J16"/>
    <mergeCell ref="B18:J19"/>
    <mergeCell ref="B21:J22"/>
    <mergeCell ref="B28:J29"/>
    <mergeCell ref="B31:J32"/>
  </mergeCells>
  <dataValidations count="2">
    <dataValidation type="list" allowBlank="1" showInputMessage="1" showErrorMessage="1" sqref="C10 C12 C14 C17 C23 C35" xr:uid="{622A70E4-D71A-4E34-9C63-7929183EF460}">
      <formula1>"0,1"</formula1>
    </dataValidation>
    <dataValidation type="list" allowBlank="1" showInputMessage="1" showErrorMessage="1" sqref="C33 C30 C27 C25 C20" xr:uid="{698BBC3E-A8A5-42ED-B059-C5CD0A7264D1}">
      <formula1>"0,1,2,3,4,5,6,7,8,9,10"</formula1>
    </dataValidation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12" r:id="rId4" name="Scroll Bar 16">
              <controlPr defaultSize="0" autoPict="0">
                <anchor moveWithCells="1">
                  <from>
                    <xdr:col>2</xdr:col>
                    <xdr:colOff>0</xdr:colOff>
                    <xdr:row>42</xdr:row>
                    <xdr:rowOff>0</xdr:rowOff>
                  </from>
                  <to>
                    <xdr:col>9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5" name="Scroll Bar 17">
              <controlPr defaultSize="0" autoPict="0">
                <anchor moveWithCells="1">
                  <from>
                    <xdr:col>2</xdr:col>
                    <xdr:colOff>0</xdr:colOff>
                    <xdr:row>38</xdr:row>
                    <xdr:rowOff>0</xdr:rowOff>
                  </from>
                  <to>
                    <xdr:col>9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J113"/>
  <sheetViews>
    <sheetView zoomScale="70" zoomScaleNormal="70" workbookViewId="0">
      <selection activeCell="AK4" sqref="AK4:AO15"/>
    </sheetView>
  </sheetViews>
  <sheetFormatPr defaultRowHeight="28.5"/>
  <cols>
    <col min="1" max="3" width="9.140625" style="3" customWidth="1"/>
    <col min="4" max="14" width="11" style="3" customWidth="1"/>
    <col min="15" max="15" width="9.140625" style="12"/>
    <col min="16" max="16" width="13.28515625" style="1" customWidth="1"/>
    <col min="17" max="17" width="14.140625" style="1" customWidth="1"/>
    <col min="18" max="18" width="13.7109375" style="1" customWidth="1"/>
    <col min="19" max="19" width="12.5703125" style="1" bestFit="1" customWidth="1"/>
    <col min="20" max="20" width="1.85546875" style="1" customWidth="1"/>
    <col min="21" max="21" width="11.42578125" style="1" customWidth="1"/>
    <col min="22" max="23" width="9.140625" style="3"/>
    <col min="24" max="24" width="2.7109375" style="3" customWidth="1"/>
    <col min="25" max="27" width="9.140625" style="3"/>
    <col min="28" max="32" width="9.140625" style="1"/>
    <col min="33" max="33" width="2.140625" style="1" customWidth="1"/>
    <col min="34" max="36" width="9.140625" style="1"/>
    <col min="37" max="37" width="27.85546875" style="1" customWidth="1"/>
    <col min="38" max="16384" width="9.140625" style="1"/>
  </cols>
  <sheetData>
    <row r="1" spans="1:36" ht="29.25" thickBot="1">
      <c r="B1" s="3">
        <f>('INPUT AND RESULTS'!J43+10)/100</f>
        <v>0.6</v>
      </c>
      <c r="D1" s="50">
        <v>175</v>
      </c>
      <c r="E1" s="51">
        <v>10</v>
      </c>
      <c r="F1" s="51"/>
      <c r="G1" s="51">
        <v>-10</v>
      </c>
      <c r="H1" s="51"/>
      <c r="I1" s="51">
        <v>40</v>
      </c>
      <c r="J1" s="51">
        <v>-10</v>
      </c>
      <c r="K1" s="51">
        <v>-15</v>
      </c>
      <c r="L1" s="51"/>
      <c r="M1" s="51">
        <v>20</v>
      </c>
      <c r="N1" s="52">
        <v>50</v>
      </c>
      <c r="P1" s="58" t="s">
        <v>11</v>
      </c>
      <c r="Q1" s="58"/>
      <c r="R1" s="58" t="s">
        <v>11</v>
      </c>
      <c r="S1" s="58"/>
      <c r="Z1" s="20" t="s">
        <v>39</v>
      </c>
      <c r="AA1" s="21"/>
      <c r="AB1" s="22"/>
      <c r="AC1" s="23"/>
      <c r="AE1" s="20" t="s">
        <v>40</v>
      </c>
      <c r="AF1" s="21"/>
      <c r="AG1" s="23"/>
      <c r="AH1" s="24"/>
      <c r="AI1" s="25"/>
      <c r="AJ1" s="23"/>
    </row>
    <row r="2" spans="1:36" ht="29.25" thickBot="1">
      <c r="D2" s="53">
        <f>D1</f>
        <v>175</v>
      </c>
      <c r="E2" s="54">
        <f>E1</f>
        <v>10</v>
      </c>
      <c r="F2" s="54"/>
      <c r="G2" s="54">
        <f>G1*B1*2</f>
        <v>-12</v>
      </c>
      <c r="H2" s="54"/>
      <c r="I2" s="54">
        <f>I1</f>
        <v>40</v>
      </c>
      <c r="J2" s="54">
        <f>J1*B1*2</f>
        <v>-12</v>
      </c>
      <c r="K2" s="54">
        <f>K1*B1*2</f>
        <v>-18</v>
      </c>
      <c r="L2" s="54"/>
      <c r="M2" s="54">
        <f>M1</f>
        <v>20</v>
      </c>
      <c r="N2" s="55">
        <f>N1</f>
        <v>50</v>
      </c>
      <c r="P2" s="8">
        <f>MAX(P6:P65)</f>
        <v>1018</v>
      </c>
      <c r="Q2" s="7">
        <f>MAX(Q6:Q63)</f>
        <v>1</v>
      </c>
      <c r="R2" s="8">
        <f>MAX(R6:R65)</f>
        <v>285</v>
      </c>
      <c r="S2" s="7">
        <f>MAX(S6:S63)</f>
        <v>1</v>
      </c>
      <c r="Z2" s="26" t="s">
        <v>41</v>
      </c>
      <c r="AA2" s="27">
        <v>0</v>
      </c>
      <c r="AB2" s="23" t="s">
        <v>42</v>
      </c>
      <c r="AC2" s="32" t="s">
        <v>48</v>
      </c>
      <c r="AD2" s="33">
        <f>(AF3-AA3)/(AF2-AA2)</f>
        <v>-1</v>
      </c>
      <c r="AE2" s="26" t="s">
        <v>43</v>
      </c>
      <c r="AF2" s="27">
        <f>1+(IF('INPUT AND RESULTS'!J43&lt;50,50,'INPUT AND RESULTS'!J43)-50)/50</f>
        <v>1</v>
      </c>
      <c r="AG2" s="23"/>
      <c r="AH2" s="26"/>
      <c r="AI2" s="25"/>
      <c r="AJ2" s="23"/>
    </row>
    <row r="3" spans="1:36" ht="29.25" thickBot="1">
      <c r="B3" s="3">
        <f>('INPUT AND RESULTS'!J39+10)/60</f>
        <v>1</v>
      </c>
      <c r="D3" s="50">
        <v>40</v>
      </c>
      <c r="E3" s="51">
        <v>40</v>
      </c>
      <c r="F3" s="51">
        <v>50</v>
      </c>
      <c r="G3" s="51">
        <v>50</v>
      </c>
      <c r="H3" s="51">
        <v>8</v>
      </c>
      <c r="I3" s="51">
        <v>-50</v>
      </c>
      <c r="J3" s="51">
        <v>20</v>
      </c>
      <c r="K3" s="51">
        <v>20</v>
      </c>
      <c r="L3" s="51">
        <v>50</v>
      </c>
      <c r="M3" s="51"/>
      <c r="N3" s="52">
        <v>10</v>
      </c>
      <c r="P3" s="8">
        <f>MIN(P6:P65)</f>
        <v>168.8</v>
      </c>
      <c r="Q3" s="7">
        <f>MIN(Q7:Q64)</f>
        <v>0</v>
      </c>
      <c r="R3" s="8">
        <f>MIN(R6:R65)</f>
        <v>-18</v>
      </c>
      <c r="S3" s="7">
        <f>MIN(S7:S64)</f>
        <v>0</v>
      </c>
      <c r="Z3" s="26" t="s">
        <v>44</v>
      </c>
      <c r="AA3" s="27">
        <f>1+(IF('INPUT AND RESULTS'!J39&lt;50,50,'INPUT AND RESULTS'!J39)-50)/50</f>
        <v>1</v>
      </c>
      <c r="AB3" s="23" t="s">
        <v>42</v>
      </c>
      <c r="AC3" s="32" t="s">
        <v>49</v>
      </c>
      <c r="AD3" s="33">
        <f>AA3-(AD2*AA2)</f>
        <v>1</v>
      </c>
      <c r="AE3" s="26" t="s">
        <v>45</v>
      </c>
      <c r="AF3" s="27">
        <v>0</v>
      </c>
      <c r="AG3" s="23"/>
      <c r="AH3" s="26"/>
      <c r="AI3" s="25"/>
      <c r="AJ3" s="23"/>
    </row>
    <row r="4" spans="1:36" ht="29.25" thickBot="1">
      <c r="D4" s="53">
        <f>D3*B3*1</f>
        <v>40</v>
      </c>
      <c r="E4" s="54">
        <f>E3</f>
        <v>40</v>
      </c>
      <c r="F4" s="54">
        <f>F3*B3*1.1</f>
        <v>55.000000000000007</v>
      </c>
      <c r="G4" s="54">
        <f>G3*$B$3*1.2</f>
        <v>60</v>
      </c>
      <c r="H4" s="54">
        <f>H3*$B$3*1.1</f>
        <v>8.8000000000000007</v>
      </c>
      <c r="I4" s="54">
        <f>I3</f>
        <v>-50</v>
      </c>
      <c r="J4" s="54">
        <f>J3*$B$3*1</f>
        <v>20</v>
      </c>
      <c r="K4" s="54">
        <f>K3</f>
        <v>20</v>
      </c>
      <c r="L4" s="54">
        <f>(L3*$B$3^2)</f>
        <v>50</v>
      </c>
      <c r="M4" s="54"/>
      <c r="N4" s="55">
        <f>N3*$B$3</f>
        <v>10</v>
      </c>
      <c r="P4" s="8"/>
      <c r="Q4" s="7"/>
      <c r="R4" s="8"/>
      <c r="S4" s="7"/>
      <c r="Z4" s="26" t="s">
        <v>46</v>
      </c>
      <c r="AA4" s="27">
        <v>0</v>
      </c>
      <c r="AB4" s="23" t="s">
        <v>42</v>
      </c>
      <c r="AC4" s="23"/>
      <c r="AE4" s="26" t="s">
        <v>47</v>
      </c>
      <c r="AF4" s="27">
        <v>0</v>
      </c>
      <c r="AG4" s="23"/>
      <c r="AH4" s="26"/>
      <c r="AI4" s="28"/>
      <c r="AJ4" s="23"/>
    </row>
    <row r="5" spans="1:36">
      <c r="A5" s="4"/>
      <c r="B5" s="4"/>
      <c r="C5" s="4"/>
      <c r="D5" s="4" t="s">
        <v>0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  <c r="L5" s="4" t="s">
        <v>8</v>
      </c>
      <c r="M5" s="4" t="s">
        <v>9</v>
      </c>
      <c r="N5" s="4" t="s">
        <v>10</v>
      </c>
      <c r="P5" s="9"/>
      <c r="Q5" s="7">
        <f>P2-P3</f>
        <v>849.2</v>
      </c>
      <c r="R5" s="9"/>
      <c r="S5" s="7">
        <f>R2-R3</f>
        <v>303</v>
      </c>
    </row>
    <row r="6" spans="1:36">
      <c r="A6" s="5"/>
      <c r="B6" s="5">
        <v>1</v>
      </c>
      <c r="C6" s="5"/>
      <c r="D6" s="5">
        <v>1</v>
      </c>
      <c r="E6" s="5">
        <v>0</v>
      </c>
      <c r="F6" s="5">
        <v>1</v>
      </c>
      <c r="G6" s="5">
        <v>0</v>
      </c>
      <c r="H6" s="5">
        <v>4</v>
      </c>
      <c r="I6" s="5">
        <v>0</v>
      </c>
      <c r="J6" s="3">
        <v>8</v>
      </c>
      <c r="K6" s="5">
        <v>9</v>
      </c>
      <c r="L6" s="3">
        <v>8</v>
      </c>
      <c r="M6" s="3">
        <v>3</v>
      </c>
      <c r="N6" s="5">
        <v>1</v>
      </c>
      <c r="P6" s="8">
        <f t="shared" ref="P6:P37" si="0">($D$4*D6+E6*$E$4+F6*$F$4+G6*$G$4+H6*$H$4+I6*$I$4+K6*$K$4+L6*$L$4+N6*$N$4+J6*$J$4)</f>
        <v>880.2</v>
      </c>
      <c r="Q6" s="10">
        <f>1-(P6-$P$3)/$Q$5</f>
        <v>0.16227037211493167</v>
      </c>
      <c r="R6" s="8">
        <f t="shared" ref="R6:R37" si="1">(D6*$D$2+E6*$E$2+$G$2*G6+I6*$I$2+J6*$J$2+K6*$K$2+M6*$M$2+N6*$N$2)</f>
        <v>27</v>
      </c>
      <c r="S6" s="10">
        <f>(R6-$R$3)/$S$5</f>
        <v>0.14851485148514851</v>
      </c>
      <c r="U6" s="1">
        <f>INDEX(B6:B63,MATCH(V6,Q6:Q63,0))</f>
        <v>1</v>
      </c>
      <c r="V6" s="18">
        <f>Q6</f>
        <v>0.16227037211493167</v>
      </c>
      <c r="W6" s="18">
        <f>S6</f>
        <v>0.14851485148514851</v>
      </c>
      <c r="Y6" s="18">
        <f>($AF$2-$AA$2)*($AF$3-W6)-($AF$2-V6)*($AF$3-$AA$3)</f>
        <v>0.68921477639991979</v>
      </c>
      <c r="Z6" s="29" t="s">
        <v>50</v>
      </c>
      <c r="AA6" s="34">
        <f>(ABS(($AF$2-$AA$2)*($AF$3-W6)-($AF$2-V6)*($AF$3-$AA$3)))/SQRT((AF$2-AA$2)^2+($AF$3-$AA$3)^2)</f>
        <v>0.48734844208635331</v>
      </c>
      <c r="AB6" s="36">
        <f>IF(Y6&gt;0,-AA6,AA6)</f>
        <v>-0.48734844208635331</v>
      </c>
      <c r="AH6" s="59">
        <f t="array" ref="AH6:AH40">IF(ISERROR(LARGE(AB6:AB41,ROW()-ROW(B3))),"-",LARGE(AB6:AB41,ROW()-ROW(AB5)))</f>
        <v>0.34552014733592523</v>
      </c>
      <c r="AI6" s="3">
        <f>INDEX($U$6:$U$40,MATCH(AH6,$AB$6:$AB$40,0))</f>
        <v>8</v>
      </c>
    </row>
    <row r="7" spans="1:36">
      <c r="A7" s="5"/>
      <c r="B7" s="5">
        <v>2</v>
      </c>
      <c r="C7" s="5"/>
      <c r="D7" s="5">
        <v>1</v>
      </c>
      <c r="E7" s="5">
        <v>0</v>
      </c>
      <c r="F7" s="5">
        <v>0</v>
      </c>
      <c r="G7" s="5">
        <v>1</v>
      </c>
      <c r="H7" s="5">
        <v>8</v>
      </c>
      <c r="I7" s="5">
        <v>1</v>
      </c>
      <c r="J7" s="3">
        <v>6</v>
      </c>
      <c r="K7" s="5">
        <v>6</v>
      </c>
      <c r="L7" s="3">
        <v>7</v>
      </c>
      <c r="M7" s="3">
        <v>5</v>
      </c>
      <c r="N7" s="5">
        <v>1</v>
      </c>
      <c r="P7" s="8">
        <f t="shared" si="0"/>
        <v>720.4</v>
      </c>
      <c r="Q7" s="10">
        <f t="shared" ref="Q7:Q63" si="2">1-(P7-$P$3)/$Q$5</f>
        <v>0.35044747998115888</v>
      </c>
      <c r="R7" s="8">
        <f t="shared" si="1"/>
        <v>173</v>
      </c>
      <c r="S7" s="10">
        <f t="shared" ref="S7:S65" si="3">(R7-$R$3)/$S$5</f>
        <v>0.63036303630363033</v>
      </c>
      <c r="U7" s="1">
        <f t="shared" ref="U7:U40" si="4">INDEX(B7:B64,MATCH(V7,Q7:Q64,0))</f>
        <v>2</v>
      </c>
      <c r="V7" s="18">
        <f t="shared" ref="V7:V9" si="5">Q7</f>
        <v>0.35044747998115888</v>
      </c>
      <c r="W7" s="18">
        <f t="shared" ref="W7:W9" si="6">S7</f>
        <v>0.63036303630363033</v>
      </c>
      <c r="Y7" s="18">
        <f>($AF$2-$AA$2)*($AF$3-W7)-($AF$2-V7)*($AF$3-$AA$3)</f>
        <v>1.9189483715210787E-2</v>
      </c>
      <c r="Z7" s="29" t="s">
        <v>50</v>
      </c>
      <c r="AA7" s="34">
        <f>(ABS(($AF$2-$AA$2)*($AF$3-W7)-($AF$2-V7)*($AF$3-$AA$3)))/SQRT((AF$2-AA$2)^2+($AF$3-$AA$3)^2)</f>
        <v>1.356901406249437E-2</v>
      </c>
      <c r="AB7" s="36">
        <f t="shared" ref="AB7:AB9" si="7">IF(Y7&gt;0,-AA7,AA7)</f>
        <v>-1.356901406249437E-2</v>
      </c>
      <c r="AC7" s="30"/>
      <c r="AD7" s="31"/>
      <c r="AE7" s="37">
        <f>AA2</f>
        <v>0</v>
      </c>
      <c r="AF7" s="28">
        <f>AA3</f>
        <v>1</v>
      </c>
      <c r="AG7" s="25"/>
      <c r="AH7" s="59">
        <v>0.32162652499556477</v>
      </c>
      <c r="AI7" s="3">
        <f t="shared" ref="AI7:AI38" si="8">INDEX($U$6:$U$40,MATCH(AH7,$AB$6:$AB$40,0))</f>
        <v>4</v>
      </c>
    </row>
    <row r="8" spans="1:36">
      <c r="A8" s="5"/>
      <c r="B8" s="5">
        <v>3</v>
      </c>
      <c r="C8" s="5"/>
      <c r="D8" s="5">
        <v>1</v>
      </c>
      <c r="E8" s="5">
        <v>0</v>
      </c>
      <c r="F8" s="5">
        <v>0</v>
      </c>
      <c r="G8" s="5">
        <v>1</v>
      </c>
      <c r="H8" s="5">
        <v>10</v>
      </c>
      <c r="I8" s="5">
        <v>1</v>
      </c>
      <c r="J8" s="3">
        <v>9</v>
      </c>
      <c r="K8" s="5">
        <v>5</v>
      </c>
      <c r="L8" s="3">
        <v>6</v>
      </c>
      <c r="M8" s="3">
        <v>5</v>
      </c>
      <c r="N8" s="5">
        <v>1</v>
      </c>
      <c r="P8" s="8">
        <f t="shared" si="0"/>
        <v>728</v>
      </c>
      <c r="Q8" s="10">
        <f t="shared" si="2"/>
        <v>0.34149788035798401</v>
      </c>
      <c r="R8" s="8">
        <f t="shared" si="1"/>
        <v>155</v>
      </c>
      <c r="S8" s="10">
        <f t="shared" si="3"/>
        <v>0.57095709570957098</v>
      </c>
      <c r="U8" s="1">
        <f t="shared" si="4"/>
        <v>3</v>
      </c>
      <c r="V8" s="18">
        <f t="shared" si="5"/>
        <v>0.34149788035798401</v>
      </c>
      <c r="W8" s="18">
        <f t="shared" si="6"/>
        <v>0.57095709570957098</v>
      </c>
      <c r="Y8" s="18">
        <f>($AF$2-$AA$2)*($AF$3-W8)-($AF$2-V8)*($AF$3-$AA$3)</f>
        <v>8.754502393244501E-2</v>
      </c>
      <c r="Z8" s="29" t="s">
        <v>50</v>
      </c>
      <c r="AA8" s="34">
        <f>(ABS(($AF$2-$AA$2)*($AF$3-W8)-($AF$2-V8)*($AF$3-$AA$3)))/SQRT((AF$2-AA$2)^2+($AF$3-$AA$3)^2)</f>
        <v>6.1903680081770454E-2</v>
      </c>
      <c r="AB8" s="36">
        <f t="shared" si="7"/>
        <v>-6.1903680081770454E-2</v>
      </c>
      <c r="AC8" s="23"/>
      <c r="AD8" s="23"/>
      <c r="AE8" s="37">
        <f>AF2</f>
        <v>1</v>
      </c>
      <c r="AF8" s="37">
        <f>AF3</f>
        <v>0</v>
      </c>
      <c r="AG8" s="23"/>
      <c r="AH8" s="59">
        <v>0.2760003854385365</v>
      </c>
      <c r="AI8" s="3">
        <f t="shared" si="8"/>
        <v>30</v>
      </c>
    </row>
    <row r="9" spans="1:36">
      <c r="A9" s="5"/>
      <c r="B9" s="5">
        <v>4</v>
      </c>
      <c r="C9" s="5"/>
      <c r="D9" s="5">
        <v>1</v>
      </c>
      <c r="E9" s="5">
        <v>0</v>
      </c>
      <c r="F9" s="5">
        <v>0</v>
      </c>
      <c r="G9" s="5">
        <v>0</v>
      </c>
      <c r="H9" s="5">
        <v>8</v>
      </c>
      <c r="I9" s="5">
        <v>1</v>
      </c>
      <c r="J9" s="3">
        <v>5</v>
      </c>
      <c r="K9" s="5">
        <v>3</v>
      </c>
      <c r="L9" s="3">
        <v>5</v>
      </c>
      <c r="M9" s="3">
        <v>4</v>
      </c>
      <c r="N9" s="5">
        <v>1</v>
      </c>
      <c r="P9" s="8">
        <f t="shared" si="0"/>
        <v>480.4</v>
      </c>
      <c r="Q9" s="10">
        <f t="shared" si="2"/>
        <v>0.63306641544983522</v>
      </c>
      <c r="R9" s="8">
        <f t="shared" si="1"/>
        <v>231</v>
      </c>
      <c r="S9" s="10">
        <f t="shared" si="3"/>
        <v>0.82178217821782173</v>
      </c>
      <c r="U9" s="1">
        <f t="shared" si="4"/>
        <v>4</v>
      </c>
      <c r="V9" s="18">
        <f t="shared" si="5"/>
        <v>0.63306641544983522</v>
      </c>
      <c r="W9" s="18">
        <f t="shared" si="6"/>
        <v>0.82178217821782173</v>
      </c>
      <c r="Y9" s="18">
        <f>($AF$2-$AA$2)*($AF$3-W9)-($AF$2-V9)*($AF$3-$AA$3)</f>
        <v>-0.45484859366765695</v>
      </c>
      <c r="Z9" s="29" t="s">
        <v>50</v>
      </c>
      <c r="AA9" s="34">
        <f>(ABS(($AF$2-$AA$2)*($AF$3-W9)-($AF$2-V9)*($AF$3-$AA$3)))/SQRT((AF$2-AA$2)^2+($AF$3-$AA$3)^2)</f>
        <v>0.32162652499556477</v>
      </c>
      <c r="AB9" s="36">
        <f t="shared" si="7"/>
        <v>0.32162652499556477</v>
      </c>
      <c r="AC9" s="32"/>
      <c r="AD9" s="23"/>
      <c r="AE9" s="32"/>
      <c r="AF9" s="23"/>
      <c r="AG9" s="23"/>
      <c r="AH9" s="59">
        <v>0.25637566022323238</v>
      </c>
      <c r="AI9" s="3">
        <f t="shared" si="8"/>
        <v>31</v>
      </c>
    </row>
    <row r="10" spans="1:36">
      <c r="A10" s="5"/>
      <c r="B10" s="5">
        <v>5</v>
      </c>
      <c r="C10" s="5"/>
      <c r="D10" s="5">
        <v>1</v>
      </c>
      <c r="E10" s="5">
        <v>0</v>
      </c>
      <c r="F10" s="5">
        <v>0</v>
      </c>
      <c r="G10" s="5">
        <v>0</v>
      </c>
      <c r="H10" s="5">
        <v>8</v>
      </c>
      <c r="I10" s="5">
        <v>0</v>
      </c>
      <c r="J10" s="3">
        <v>5</v>
      </c>
      <c r="K10" s="5">
        <v>2</v>
      </c>
      <c r="L10" s="3">
        <v>7</v>
      </c>
      <c r="M10" s="3">
        <v>5</v>
      </c>
      <c r="N10" s="5">
        <v>0</v>
      </c>
      <c r="P10" s="8">
        <f t="shared" si="0"/>
        <v>600.4</v>
      </c>
      <c r="Q10" s="10">
        <f t="shared" si="2"/>
        <v>0.49175694771549705</v>
      </c>
      <c r="R10" s="8">
        <f t="shared" si="1"/>
        <v>179</v>
      </c>
      <c r="S10" s="10">
        <f t="shared" si="3"/>
        <v>0.65016501650165015</v>
      </c>
      <c r="U10" s="1">
        <f t="shared" si="4"/>
        <v>6</v>
      </c>
      <c r="V10" s="18">
        <f>Q11</f>
        <v>0.35327366933584547</v>
      </c>
      <c r="W10" s="18">
        <f>S11</f>
        <v>0.75577557755775582</v>
      </c>
      <c r="Y10" s="18">
        <f>($AF$2-$AA$2)*($AF$3-W10)-($AF$2-V10)*($AF$3-$AA$3)</f>
        <v>-0.10904924689360129</v>
      </c>
      <c r="Z10" s="29" t="s">
        <v>50</v>
      </c>
      <c r="AA10" s="34">
        <f>(ABS(($AF$2-$AA$2)*($AF$3-W10)-($AF$2-V10)*($AF$3-$AA$3)))/SQRT((AF$2-AA$2)^2+($AF$3-$AA$3)^2)</f>
        <v>7.7109461961751516E-2</v>
      </c>
      <c r="AB10" s="36">
        <f t="shared" ref="AB10:AB40" si="9">IF(Y10&gt;0,-AA10,AA10)</f>
        <v>7.7109461961751516E-2</v>
      </c>
      <c r="AC10" s="26"/>
      <c r="AD10" s="23"/>
      <c r="AE10" s="26"/>
      <c r="AF10" s="23"/>
      <c r="AG10" s="23"/>
      <c r="AH10" s="59">
        <v>0.18235945859620706</v>
      </c>
      <c r="AI10" s="3">
        <f t="shared" si="8"/>
        <v>21</v>
      </c>
    </row>
    <row r="11" spans="1:36">
      <c r="A11" s="5"/>
      <c r="B11" s="5">
        <v>6</v>
      </c>
      <c r="C11" s="5"/>
      <c r="D11" s="5">
        <v>1</v>
      </c>
      <c r="E11" s="5">
        <v>0</v>
      </c>
      <c r="F11" s="5">
        <v>0</v>
      </c>
      <c r="G11" s="5">
        <v>1</v>
      </c>
      <c r="H11" s="5">
        <v>10</v>
      </c>
      <c r="I11" s="5">
        <v>1</v>
      </c>
      <c r="J11" s="3">
        <v>6</v>
      </c>
      <c r="K11" s="5">
        <v>5</v>
      </c>
      <c r="L11" s="3">
        <v>7</v>
      </c>
      <c r="M11" s="3">
        <v>6</v>
      </c>
      <c r="N11" s="5">
        <v>1</v>
      </c>
      <c r="P11" s="8">
        <f t="shared" si="0"/>
        <v>718</v>
      </c>
      <c r="Q11" s="10">
        <f t="shared" si="2"/>
        <v>0.35327366933584547</v>
      </c>
      <c r="R11" s="8">
        <f t="shared" si="1"/>
        <v>211</v>
      </c>
      <c r="S11" s="10">
        <f t="shared" si="3"/>
        <v>0.75577557755775582</v>
      </c>
      <c r="U11" s="1">
        <f t="shared" si="4"/>
        <v>6</v>
      </c>
      <c r="V11" s="18">
        <f>Q12</f>
        <v>0.35327366933584547</v>
      </c>
      <c r="W11" s="18">
        <f>S12</f>
        <v>0.82178217821782173</v>
      </c>
      <c r="Y11" s="18">
        <f>($AF$2-$AA$2)*($AF$3-W11)-($AF$2-V11)*($AF$3-$AA$3)</f>
        <v>-0.17505584755366721</v>
      </c>
      <c r="Z11" s="29" t="s">
        <v>50</v>
      </c>
      <c r="AA11" s="34">
        <f>(ABS(($AF$2-$AA$2)*($AF$3-W11)-($AF$2-V11)*($AF$3-$AA$3)))/SQRT((AF$2-AA$2)^2+($AF$3-$AA$3)^2)</f>
        <v>0.12378317689155657</v>
      </c>
      <c r="AB11" s="36">
        <f t="shared" si="9"/>
        <v>0.12378317689155657</v>
      </c>
      <c r="AG11" s="23"/>
      <c r="AH11" s="59">
        <v>0.17633782387210264</v>
      </c>
      <c r="AI11" s="3">
        <f t="shared" si="8"/>
        <v>27</v>
      </c>
    </row>
    <row r="12" spans="1:36">
      <c r="A12" s="5"/>
      <c r="B12" s="5">
        <v>7</v>
      </c>
      <c r="C12" s="5"/>
      <c r="D12" s="5">
        <v>1</v>
      </c>
      <c r="E12" s="5">
        <v>0</v>
      </c>
      <c r="F12" s="5">
        <v>0</v>
      </c>
      <c r="G12" s="5">
        <v>1</v>
      </c>
      <c r="H12" s="5">
        <v>10</v>
      </c>
      <c r="I12" s="5">
        <v>1</v>
      </c>
      <c r="J12" s="3">
        <v>6</v>
      </c>
      <c r="K12" s="5">
        <v>5</v>
      </c>
      <c r="L12" s="3">
        <v>7</v>
      </c>
      <c r="M12" s="3">
        <v>7</v>
      </c>
      <c r="N12" s="5">
        <v>1</v>
      </c>
      <c r="P12" s="8">
        <f t="shared" si="0"/>
        <v>718</v>
      </c>
      <c r="Q12" s="10">
        <f t="shared" si="2"/>
        <v>0.35327366933584547</v>
      </c>
      <c r="R12" s="8">
        <f t="shared" si="1"/>
        <v>231</v>
      </c>
      <c r="S12" s="10">
        <f t="shared" si="3"/>
        <v>0.82178217821782173</v>
      </c>
      <c r="U12" s="1">
        <f t="shared" si="4"/>
        <v>8</v>
      </c>
      <c r="V12" s="18">
        <f>Q13</f>
        <v>0.54804521902967496</v>
      </c>
      <c r="W12" s="18">
        <f>S13</f>
        <v>0.94059405940594054</v>
      </c>
      <c r="Y12" s="18">
        <f>($AF$2-$AA$2)*($AF$3-W12)-($AF$2-V12)*($AF$3-$AA$3)</f>
        <v>-0.4886392784356155</v>
      </c>
      <c r="Z12" s="29" t="s">
        <v>50</v>
      </c>
      <c r="AA12" s="34">
        <f>(ABS(($AF$2-$AA$2)*($AF$3-W12)-($AF$2-V12)*($AF$3-$AA$3)))/SQRT((AF$2-AA$2)^2+($AF$3-$AA$3)^2)</f>
        <v>0.34552014733592523</v>
      </c>
      <c r="AB12" s="36">
        <f t="shared" si="9"/>
        <v>0.34552014733592523</v>
      </c>
      <c r="AC12" s="23"/>
      <c r="AD12" s="23"/>
      <c r="AE12" s="23"/>
      <c r="AF12" s="23"/>
      <c r="AG12" s="23"/>
      <c r="AH12" s="59">
        <v>0.14417901871127095</v>
      </c>
      <c r="AI12" s="3">
        <f t="shared" si="8"/>
        <v>11</v>
      </c>
    </row>
    <row r="13" spans="1:36">
      <c r="A13" s="5"/>
      <c r="B13" s="5">
        <v>8</v>
      </c>
      <c r="C13" s="5"/>
      <c r="D13" s="5">
        <v>1</v>
      </c>
      <c r="E13" s="5">
        <v>0</v>
      </c>
      <c r="F13" s="5">
        <v>1</v>
      </c>
      <c r="G13" s="5">
        <v>0</v>
      </c>
      <c r="H13" s="5">
        <v>2</v>
      </c>
      <c r="I13" s="5">
        <v>1</v>
      </c>
      <c r="J13" s="3">
        <v>4</v>
      </c>
      <c r="K13" s="5">
        <v>5</v>
      </c>
      <c r="L13" s="3">
        <v>6</v>
      </c>
      <c r="M13" s="3">
        <v>7</v>
      </c>
      <c r="N13" s="5">
        <v>1</v>
      </c>
      <c r="P13" s="8">
        <f t="shared" si="0"/>
        <v>552.6</v>
      </c>
      <c r="Q13" s="10">
        <f t="shared" si="2"/>
        <v>0.54804521902967496</v>
      </c>
      <c r="R13" s="8">
        <f t="shared" si="1"/>
        <v>267</v>
      </c>
      <c r="S13" s="10">
        <f t="shared" si="3"/>
        <v>0.94059405940594054</v>
      </c>
      <c r="U13" s="1">
        <f t="shared" si="4"/>
        <v>9</v>
      </c>
      <c r="V13" s="18">
        <f>Q14</f>
        <v>0.48280734809232217</v>
      </c>
      <c r="W13" s="18">
        <f>S14</f>
        <v>0.51155115511551152</v>
      </c>
      <c r="Y13" s="18">
        <f>($AF$2-$AA$2)*($AF$3-W13)-($AF$2-V13)*($AF$3-$AA$3)</f>
        <v>5.6414967921663006E-3</v>
      </c>
      <c r="Z13" s="29" t="s">
        <v>50</v>
      </c>
      <c r="AA13" s="34">
        <f>(ABS(($AF$2-$AA$2)*($AF$3-W13)-($AF$2-V13)*($AF$3-$AA$3)))/SQRT((AF$2-AA$2)^2+($AF$3-$AA$3)^2)</f>
        <v>3.9891406377829458E-3</v>
      </c>
      <c r="AB13" s="36">
        <f t="shared" si="9"/>
        <v>-3.9891406377829458E-3</v>
      </c>
      <c r="AD13" s="23"/>
      <c r="AE13"/>
      <c r="AF13"/>
      <c r="AG13" s="23"/>
      <c r="AH13" s="59">
        <v>0.12378317689155657</v>
      </c>
      <c r="AI13" s="3">
        <f t="shared" si="8"/>
        <v>6</v>
      </c>
    </row>
    <row r="14" spans="1:36">
      <c r="A14" s="5"/>
      <c r="B14" s="5">
        <v>9</v>
      </c>
      <c r="C14" s="5"/>
      <c r="D14" s="5">
        <v>1</v>
      </c>
      <c r="E14" s="5">
        <v>0</v>
      </c>
      <c r="F14" s="5">
        <v>0</v>
      </c>
      <c r="G14" s="5">
        <v>0</v>
      </c>
      <c r="H14" s="5">
        <v>10</v>
      </c>
      <c r="I14" s="5">
        <v>0</v>
      </c>
      <c r="J14" s="3">
        <v>5</v>
      </c>
      <c r="K14" s="5">
        <v>6</v>
      </c>
      <c r="L14" s="3">
        <v>5</v>
      </c>
      <c r="M14" s="3">
        <v>4</v>
      </c>
      <c r="N14" s="5">
        <v>1</v>
      </c>
      <c r="P14" s="8">
        <f t="shared" si="0"/>
        <v>608</v>
      </c>
      <c r="Q14" s="10">
        <f t="shared" si="2"/>
        <v>0.48280734809232217</v>
      </c>
      <c r="R14" s="8">
        <f t="shared" si="1"/>
        <v>137</v>
      </c>
      <c r="S14" s="10">
        <f t="shared" si="3"/>
        <v>0.51155115511551152</v>
      </c>
      <c r="U14" s="1">
        <f t="shared" si="4"/>
        <v>11</v>
      </c>
      <c r="V14" s="18">
        <f>Q16</f>
        <v>0.51413094677343385</v>
      </c>
      <c r="W14" s="18">
        <f>S16</f>
        <v>0.68976897689768979</v>
      </c>
      <c r="Y14" s="18">
        <f>($AF$2-$AA$2)*($AF$3-W14)-($AF$2-V14)*($AF$3-$AA$3)</f>
        <v>-0.20389992367112364</v>
      </c>
      <c r="Z14" s="29" t="s">
        <v>50</v>
      </c>
      <c r="AA14" s="34">
        <f>(ABS(($AF$2-$AA$2)*($AF$3-W14)-($AF$2-V14)*($AF$3-$AA$3)))/SQRT((AF$2-AA$2)^2+($AF$3-$AA$3)^2)</f>
        <v>0.14417901871127095</v>
      </c>
      <c r="AB14" s="36">
        <f t="shared" si="9"/>
        <v>0.14417901871127095</v>
      </c>
      <c r="AC14" s="23"/>
      <c r="AD14" s="23"/>
      <c r="AE14" s="23"/>
      <c r="AF14" s="23"/>
      <c r="AG14" s="23"/>
      <c r="AH14" s="59">
        <v>0.10302293713262353</v>
      </c>
      <c r="AI14" s="3">
        <f t="shared" si="8"/>
        <v>28</v>
      </c>
    </row>
    <row r="15" spans="1:36">
      <c r="A15" s="6"/>
      <c r="B15" s="5">
        <v>10</v>
      </c>
      <c r="C15" s="5"/>
      <c r="D15" s="5">
        <v>0</v>
      </c>
      <c r="E15" s="5">
        <v>1</v>
      </c>
      <c r="F15" s="5">
        <v>0</v>
      </c>
      <c r="G15" s="5">
        <v>0</v>
      </c>
      <c r="H15" s="5">
        <v>1</v>
      </c>
      <c r="I15" s="5">
        <v>1</v>
      </c>
      <c r="J15" s="3">
        <v>2</v>
      </c>
      <c r="K15" s="5">
        <v>6</v>
      </c>
      <c r="L15" s="3">
        <v>0</v>
      </c>
      <c r="M15" s="3">
        <v>4</v>
      </c>
      <c r="N15" s="5">
        <v>1</v>
      </c>
      <c r="P15" s="8">
        <f t="shared" si="0"/>
        <v>168.8</v>
      </c>
      <c r="Q15" s="10">
        <f t="shared" si="2"/>
        <v>1</v>
      </c>
      <c r="R15" s="8">
        <f t="shared" si="1"/>
        <v>48</v>
      </c>
      <c r="S15" s="10">
        <f t="shared" si="3"/>
        <v>0.21782178217821782</v>
      </c>
      <c r="U15" s="1">
        <f t="shared" si="4"/>
        <v>12</v>
      </c>
      <c r="V15" s="18">
        <f>Q17</f>
        <v>0.37093735280263773</v>
      </c>
      <c r="W15" s="18">
        <f>S17</f>
        <v>0.71617161716171618</v>
      </c>
      <c r="Y15" s="18">
        <f>($AF$2-$AA$2)*($AF$3-W15)-($AF$2-V15)*($AF$3-$AA$3)</f>
        <v>-8.7108969964353911E-2</v>
      </c>
      <c r="Z15" s="29" t="s">
        <v>50</v>
      </c>
      <c r="AA15" s="34">
        <f>(ABS(($AF$2-$AA$2)*($AF$3-W15)-($AF$2-V15)*($AF$3-$AA$3)))/SQRT((AF$2-AA$2)^2+($AF$3-$AA$3)^2)</f>
        <v>6.1595343363969934E-2</v>
      </c>
      <c r="AB15" s="36">
        <f t="shared" si="9"/>
        <v>6.1595343363969934E-2</v>
      </c>
      <c r="AC15" s="23"/>
      <c r="AD15" s="23"/>
      <c r="AE15" s="23"/>
      <c r="AF15" s="23"/>
      <c r="AG15" s="23"/>
      <c r="AH15" s="59">
        <v>8.9375877055997782E-2</v>
      </c>
      <c r="AI15" s="3">
        <f t="shared" si="8"/>
        <v>33</v>
      </c>
    </row>
    <row r="16" spans="1:36">
      <c r="A16" s="6"/>
      <c r="B16" s="5">
        <v>11</v>
      </c>
      <c r="C16" s="6"/>
      <c r="D16" s="5">
        <v>1</v>
      </c>
      <c r="E16" s="5">
        <v>1</v>
      </c>
      <c r="F16" s="5">
        <v>1</v>
      </c>
      <c r="G16" s="5">
        <v>0</v>
      </c>
      <c r="H16" s="5">
        <v>3</v>
      </c>
      <c r="I16" s="5">
        <v>1</v>
      </c>
      <c r="J16" s="3">
        <v>5</v>
      </c>
      <c r="K16" s="5">
        <v>8</v>
      </c>
      <c r="L16" s="3">
        <v>4</v>
      </c>
      <c r="M16" s="3">
        <v>6</v>
      </c>
      <c r="N16" s="5">
        <v>1</v>
      </c>
      <c r="P16" s="8">
        <f t="shared" si="0"/>
        <v>581.4</v>
      </c>
      <c r="Q16" s="10">
        <f t="shared" si="2"/>
        <v>0.51413094677343385</v>
      </c>
      <c r="R16" s="8">
        <f t="shared" si="1"/>
        <v>191</v>
      </c>
      <c r="S16" s="10">
        <f t="shared" si="3"/>
        <v>0.68976897689768979</v>
      </c>
      <c r="U16" s="1">
        <f t="shared" si="4"/>
        <v>13</v>
      </c>
      <c r="V16" s="18">
        <f>Q18</f>
        <v>0.32689590202543584</v>
      </c>
      <c r="W16" s="18">
        <f>S18</f>
        <v>0.52475247524752477</v>
      </c>
      <c r="Y16" s="18">
        <f>($AF$2-$AA$2)*($AF$3-W16)-($AF$2-V16)*($AF$3-$AA$3)</f>
        <v>0.14835162272703939</v>
      </c>
      <c r="Z16" s="29" t="s">
        <v>50</v>
      </c>
      <c r="AA16" s="34">
        <f>(ABS(($AF$2-$AA$2)*($AF$3-W16)-($AF$2-V16)*($AF$3-$AA$3)))/SQRT((AF$2-AA$2)^2+($AF$3-$AA$3)^2)</f>
        <v>0.10490043843031789</v>
      </c>
      <c r="AB16" s="36">
        <f t="shared" si="9"/>
        <v>-0.10490043843031789</v>
      </c>
      <c r="AC16" s="23"/>
      <c r="AD16" s="23"/>
      <c r="AE16" s="23"/>
      <c r="AF16" s="23"/>
      <c r="AG16" s="23"/>
      <c r="AH16" s="60">
        <v>8.8836150394892385E-2</v>
      </c>
      <c r="AI16" s="3">
        <f t="shared" si="8"/>
        <v>58</v>
      </c>
    </row>
    <row r="17" spans="1:35">
      <c r="A17" s="6"/>
      <c r="B17" s="5">
        <v>12</v>
      </c>
      <c r="C17" s="6"/>
      <c r="D17" s="5">
        <v>1</v>
      </c>
      <c r="E17" s="5">
        <v>0</v>
      </c>
      <c r="F17" s="5">
        <v>1</v>
      </c>
      <c r="G17" s="5">
        <v>0</v>
      </c>
      <c r="H17" s="5">
        <v>10</v>
      </c>
      <c r="I17" s="5">
        <v>1</v>
      </c>
      <c r="J17" s="3">
        <v>8</v>
      </c>
      <c r="K17" s="5">
        <v>5</v>
      </c>
      <c r="L17" s="3">
        <v>6</v>
      </c>
      <c r="M17" s="3">
        <v>6</v>
      </c>
      <c r="N17" s="5">
        <v>1</v>
      </c>
      <c r="P17" s="8">
        <f t="shared" si="0"/>
        <v>703</v>
      </c>
      <c r="Q17" s="10">
        <f t="shared" si="2"/>
        <v>0.37093735280263773</v>
      </c>
      <c r="R17" s="8">
        <f t="shared" si="1"/>
        <v>199</v>
      </c>
      <c r="S17" s="10">
        <f t="shared" si="3"/>
        <v>0.71617161716171618</v>
      </c>
      <c r="U17" s="1">
        <f t="shared" si="4"/>
        <v>14</v>
      </c>
      <c r="V17" s="18">
        <f>Q19</f>
        <v>0.22703721149317002</v>
      </c>
      <c r="W17" s="18">
        <f>S19</f>
        <v>0.44554455445544555</v>
      </c>
      <c r="Y17" s="18">
        <f>($AF$2-$AA$2)*($AF$3-W17)-($AF$2-V17)*($AF$3-$AA$3)</f>
        <v>0.32741823405138443</v>
      </c>
      <c r="Z17" s="29" t="s">
        <v>50</v>
      </c>
      <c r="AA17" s="34">
        <f>(ABS(($AF$2-$AA$2)*($AF$3-W17)-($AF$2-V17)*($AF$3-$AA$3)))/SQRT((AF$2-AA$2)^2+($AF$3-$AA$3)^2)</f>
        <v>0.23151965358185808</v>
      </c>
      <c r="AB17" s="36">
        <f t="shared" si="9"/>
        <v>-0.23151965358185808</v>
      </c>
      <c r="AC17" s="35"/>
      <c r="AD17" s="35"/>
      <c r="AE17" s="35"/>
      <c r="AF17" s="35"/>
      <c r="AG17" s="23"/>
      <c r="AH17" s="60">
        <v>7.7109461961751516E-2</v>
      </c>
      <c r="AI17" s="3">
        <f t="shared" si="8"/>
        <v>6</v>
      </c>
    </row>
    <row r="18" spans="1:35">
      <c r="A18" s="6"/>
      <c r="B18" s="5">
        <v>13</v>
      </c>
      <c r="C18" s="6"/>
      <c r="D18" s="5">
        <v>1</v>
      </c>
      <c r="E18" s="5">
        <v>0</v>
      </c>
      <c r="F18" s="5">
        <v>0</v>
      </c>
      <c r="G18" s="5">
        <v>1</v>
      </c>
      <c r="H18" s="5">
        <v>8</v>
      </c>
      <c r="I18" s="5">
        <v>1</v>
      </c>
      <c r="J18" s="3">
        <v>7</v>
      </c>
      <c r="K18" s="5">
        <v>6</v>
      </c>
      <c r="L18" s="3">
        <v>7</v>
      </c>
      <c r="M18" s="3">
        <v>4</v>
      </c>
      <c r="N18" s="5">
        <v>1</v>
      </c>
      <c r="P18" s="8">
        <f t="shared" si="0"/>
        <v>740.4</v>
      </c>
      <c r="Q18" s="10">
        <f t="shared" si="2"/>
        <v>0.32689590202543584</v>
      </c>
      <c r="R18" s="8">
        <f t="shared" si="1"/>
        <v>141</v>
      </c>
      <c r="S18" s="10">
        <f t="shared" si="3"/>
        <v>0.52475247524752477</v>
      </c>
      <c r="U18" s="1">
        <f t="shared" si="4"/>
        <v>17</v>
      </c>
      <c r="V18" s="18">
        <f>Q22</f>
        <v>0.29156853509185132</v>
      </c>
      <c r="W18" s="18">
        <f>S22</f>
        <v>0.63036303630363033</v>
      </c>
      <c r="Y18" s="18">
        <f>($AF$2-$AA$2)*($AF$3-W18)-($AF$2-V18)*($AF$3-$AA$3)</f>
        <v>7.8068428604518347E-2</v>
      </c>
      <c r="Z18" s="29" t="s">
        <v>50</v>
      </c>
      <c r="AA18" s="34">
        <f>(ABS(($AF$2-$AA$2)*($AF$3-W18)-($AF$2-V18)*($AF$3-$AA$3)))/SQRT((AF$2-AA$2)^2+($AF$3-$AA$3)^2)</f>
        <v>5.5202715262832762E-2</v>
      </c>
      <c r="AB18" s="36">
        <f t="shared" si="9"/>
        <v>-5.5202715262832762E-2</v>
      </c>
      <c r="AC18" s="35"/>
      <c r="AD18" s="35"/>
      <c r="AE18" s="35"/>
      <c r="AF18" s="35"/>
      <c r="AG18" s="23"/>
      <c r="AH18" s="60">
        <v>6.4848543065683564E-2</v>
      </c>
      <c r="AI18" s="3">
        <f t="shared" si="8"/>
        <v>55</v>
      </c>
    </row>
    <row r="19" spans="1:35">
      <c r="A19" s="6"/>
      <c r="B19" s="5">
        <v>14</v>
      </c>
      <c r="C19" s="6"/>
      <c r="D19" s="5">
        <v>1</v>
      </c>
      <c r="E19" s="5">
        <v>0</v>
      </c>
      <c r="F19" s="5">
        <v>0</v>
      </c>
      <c r="G19" s="5">
        <v>0</v>
      </c>
      <c r="H19" s="5">
        <v>4</v>
      </c>
      <c r="I19" s="5">
        <v>0</v>
      </c>
      <c r="J19" s="3">
        <v>8</v>
      </c>
      <c r="K19" s="5">
        <v>4</v>
      </c>
      <c r="L19" s="3">
        <v>10</v>
      </c>
      <c r="M19" s="3">
        <v>3</v>
      </c>
      <c r="N19" s="5">
        <v>1</v>
      </c>
      <c r="P19" s="8">
        <f t="shared" si="0"/>
        <v>825.2</v>
      </c>
      <c r="Q19" s="10">
        <f t="shared" si="2"/>
        <v>0.22703721149317002</v>
      </c>
      <c r="R19" s="8">
        <f t="shared" si="1"/>
        <v>117</v>
      </c>
      <c r="S19" s="10">
        <f t="shared" si="3"/>
        <v>0.44554455445544555</v>
      </c>
      <c r="U19" s="1">
        <f t="shared" si="4"/>
        <v>18</v>
      </c>
      <c r="V19" s="18">
        <f>Q23</f>
        <v>0.15308525671219975</v>
      </c>
      <c r="W19" s="18">
        <f>S23</f>
        <v>0.33333333333333331</v>
      </c>
      <c r="Y19" s="18">
        <f>($AF$2-$AA$2)*($AF$3-W19)-($AF$2-V19)*($AF$3-$AA$3)</f>
        <v>0.51358140995446688</v>
      </c>
      <c r="Z19" s="29" t="s">
        <v>50</v>
      </c>
      <c r="AA19" s="34">
        <f>(ABS(($AF$2-$AA$2)*($AF$3-W19)-($AF$2-V19)*($AF$3-$AA$3)))/SQRT((AF$2-AA$2)^2+($AF$3-$AA$3)^2)</f>
        <v>0.36315689767015175</v>
      </c>
      <c r="AB19" s="36">
        <f t="shared" si="9"/>
        <v>-0.36315689767015175</v>
      </c>
      <c r="AD19" s="23"/>
      <c r="AE19" s="23"/>
      <c r="AF19" s="23"/>
      <c r="AG19" s="25"/>
      <c r="AH19" s="60">
        <v>6.1595343363969934E-2</v>
      </c>
      <c r="AI19" s="3">
        <f t="shared" si="8"/>
        <v>12</v>
      </c>
    </row>
    <row r="20" spans="1:35">
      <c r="A20" s="6"/>
      <c r="B20" s="5">
        <v>15</v>
      </c>
      <c r="C20" s="6"/>
      <c r="D20" s="6">
        <v>0</v>
      </c>
      <c r="E20" s="5">
        <v>0</v>
      </c>
      <c r="F20" s="6">
        <v>0</v>
      </c>
      <c r="G20" s="6">
        <v>0</v>
      </c>
      <c r="H20" s="5">
        <v>3</v>
      </c>
      <c r="I20" s="6">
        <v>1</v>
      </c>
      <c r="J20" s="3">
        <v>4</v>
      </c>
      <c r="K20" s="5">
        <v>2</v>
      </c>
      <c r="L20" s="3">
        <v>2</v>
      </c>
      <c r="M20" s="3">
        <v>7</v>
      </c>
      <c r="N20" s="6">
        <v>1</v>
      </c>
      <c r="P20" s="8">
        <f t="shared" si="0"/>
        <v>206.4</v>
      </c>
      <c r="Q20" s="10">
        <f t="shared" si="2"/>
        <v>0.95572303344324072</v>
      </c>
      <c r="R20" s="8">
        <f t="shared" si="1"/>
        <v>146</v>
      </c>
      <c r="S20" s="10">
        <f t="shared" si="3"/>
        <v>0.54125412541254125</v>
      </c>
      <c r="U20" s="1">
        <f t="shared" si="4"/>
        <v>20</v>
      </c>
      <c r="V20" s="18">
        <f t="shared" ref="V20:V25" si="10">Q25</f>
        <v>0.44465379180405096</v>
      </c>
      <c r="W20" s="18">
        <f t="shared" ref="W20:W25" si="11">S25</f>
        <v>0.39933993399339934</v>
      </c>
      <c r="Y20" s="18">
        <f>($AF$2-$AA$2)*($AF$3-W20)-($AF$2-V20)*($AF$3-$AA$3)</f>
        <v>0.1560062742025497</v>
      </c>
      <c r="Z20" s="29" t="s">
        <v>50</v>
      </c>
      <c r="AA20" s="34">
        <f>(ABS(($AF$2-$AA$2)*($AF$3-W20)-($AF$2-V20)*($AF$3-$AA$3)))/SQRT((AF$2-AA$2)^2+($AF$3-$AA$3)^2)</f>
        <v>0.11031309439627084</v>
      </c>
      <c r="AB20" s="36">
        <f t="shared" si="9"/>
        <v>-0.11031309439627084</v>
      </c>
      <c r="AC20" s="30"/>
      <c r="AD20" s="31"/>
      <c r="AE20" s="23"/>
      <c r="AF20" s="25"/>
      <c r="AG20" s="25"/>
      <c r="AH20" s="60">
        <v>-6.4965062467064745E-4</v>
      </c>
      <c r="AI20" s="3">
        <f t="shared" si="8"/>
        <v>41</v>
      </c>
    </row>
    <row r="21" spans="1:35">
      <c r="A21" s="6"/>
      <c r="B21" s="5">
        <v>16</v>
      </c>
      <c r="C21" s="6"/>
      <c r="D21" s="6">
        <v>0</v>
      </c>
      <c r="E21" s="5">
        <v>1</v>
      </c>
      <c r="F21" s="6">
        <v>0</v>
      </c>
      <c r="G21" s="6">
        <v>0</v>
      </c>
      <c r="H21" s="5">
        <v>1</v>
      </c>
      <c r="I21" s="6">
        <v>1</v>
      </c>
      <c r="J21" s="3">
        <v>3</v>
      </c>
      <c r="K21" s="5">
        <v>4</v>
      </c>
      <c r="L21" s="3">
        <v>1</v>
      </c>
      <c r="M21" s="3">
        <v>8</v>
      </c>
      <c r="N21" s="6">
        <v>1</v>
      </c>
      <c r="P21" s="8">
        <f t="shared" si="0"/>
        <v>198.8</v>
      </c>
      <c r="Q21" s="10">
        <f t="shared" si="2"/>
        <v>0.96467263306641549</v>
      </c>
      <c r="R21" s="8">
        <f t="shared" si="1"/>
        <v>152</v>
      </c>
      <c r="S21" s="10">
        <f t="shared" si="3"/>
        <v>0.56105610561056107</v>
      </c>
      <c r="U21" s="1">
        <f t="shared" si="4"/>
        <v>21</v>
      </c>
      <c r="V21" s="18">
        <f t="shared" si="10"/>
        <v>0.50211964201601511</v>
      </c>
      <c r="W21" s="18">
        <f t="shared" si="11"/>
        <v>0.75577557755775582</v>
      </c>
      <c r="Y21" s="18">
        <f>($AF$2-$AA$2)*($AF$3-W21)-($AF$2-V21)*($AF$3-$AA$3)</f>
        <v>-0.25789521957377093</v>
      </c>
      <c r="Z21" s="29" t="s">
        <v>50</v>
      </c>
      <c r="AA21" s="34">
        <f>(ABS(($AF$2-$AA$2)*($AF$3-W21)-($AF$2-V21)*($AF$3-$AA$3)))/SQRT((AF$2-AA$2)^2+($AF$3-$AA$3)^2)</f>
        <v>0.18235945859620706</v>
      </c>
      <c r="AB21" s="36">
        <f t="shared" si="9"/>
        <v>0.18235945859620706</v>
      </c>
      <c r="AH21" s="60">
        <v>-3.9891406377829458E-3</v>
      </c>
      <c r="AI21" s="3">
        <f t="shared" si="8"/>
        <v>9</v>
      </c>
    </row>
    <row r="22" spans="1:35">
      <c r="A22" s="6"/>
      <c r="B22" s="5">
        <v>17</v>
      </c>
      <c r="C22" s="6"/>
      <c r="D22" s="5">
        <v>1</v>
      </c>
      <c r="E22" s="5">
        <v>0</v>
      </c>
      <c r="F22" s="5">
        <v>0</v>
      </c>
      <c r="G22" s="5">
        <v>1</v>
      </c>
      <c r="H22" s="5">
        <v>8</v>
      </c>
      <c r="I22" s="5">
        <v>1</v>
      </c>
      <c r="J22" s="3">
        <v>6</v>
      </c>
      <c r="K22" s="5">
        <v>6</v>
      </c>
      <c r="L22" s="3">
        <v>8</v>
      </c>
      <c r="M22" s="3">
        <v>5</v>
      </c>
      <c r="N22" s="5">
        <v>1</v>
      </c>
      <c r="P22" s="8">
        <f t="shared" si="0"/>
        <v>770.4</v>
      </c>
      <c r="Q22" s="10">
        <f t="shared" si="2"/>
        <v>0.29156853509185132</v>
      </c>
      <c r="R22" s="8">
        <f t="shared" si="1"/>
        <v>173</v>
      </c>
      <c r="S22" s="10">
        <f t="shared" si="3"/>
        <v>0.63036303630363033</v>
      </c>
      <c r="U22" s="1">
        <f t="shared" si="4"/>
        <v>22</v>
      </c>
      <c r="V22" s="18">
        <f t="shared" si="10"/>
        <v>0</v>
      </c>
      <c r="W22" s="18">
        <f t="shared" si="11"/>
        <v>0.18811881188118812</v>
      </c>
      <c r="Y22" s="18">
        <f>($AF$2-$AA$2)*($AF$3-W22)-($AF$2-V22)*($AF$3-$AA$3)</f>
        <v>0.81188118811881194</v>
      </c>
      <c r="Z22" s="29" t="s">
        <v>50</v>
      </c>
      <c r="AA22" s="34">
        <f>(ABS(($AF$2-$AA$2)*($AF$3-W22)-($AF$2-V22)*($AF$3-$AA$3)))/SQRT((AF$2-AA$2)^2+($AF$3-$AA$3)^2)</f>
        <v>0.57408669363660292</v>
      </c>
      <c r="AB22" s="36">
        <f t="shared" si="9"/>
        <v>-0.57408669363660292</v>
      </c>
      <c r="AH22" s="60">
        <v>-1.356901406249437E-2</v>
      </c>
      <c r="AI22" s="3">
        <f t="shared" si="8"/>
        <v>2</v>
      </c>
    </row>
    <row r="23" spans="1:35">
      <c r="A23" s="6"/>
      <c r="B23" s="5">
        <v>18</v>
      </c>
      <c r="C23" s="6"/>
      <c r="D23" s="5">
        <v>1</v>
      </c>
      <c r="E23" s="5">
        <v>0</v>
      </c>
      <c r="F23" s="5">
        <v>0</v>
      </c>
      <c r="G23" s="5">
        <v>0</v>
      </c>
      <c r="H23" s="5">
        <v>10</v>
      </c>
      <c r="I23" s="5">
        <v>1</v>
      </c>
      <c r="J23" s="3">
        <v>8</v>
      </c>
      <c r="K23" s="5">
        <v>7</v>
      </c>
      <c r="L23" s="3">
        <v>10</v>
      </c>
      <c r="M23" s="3">
        <v>2</v>
      </c>
      <c r="N23" s="5">
        <v>1</v>
      </c>
      <c r="P23" s="8">
        <f t="shared" si="0"/>
        <v>888</v>
      </c>
      <c r="Q23" s="10">
        <f t="shared" si="2"/>
        <v>0.15308525671219975</v>
      </c>
      <c r="R23" s="8">
        <f t="shared" si="1"/>
        <v>83</v>
      </c>
      <c r="S23" s="10">
        <f t="shared" si="3"/>
        <v>0.33333333333333331</v>
      </c>
      <c r="U23" s="1">
        <f t="shared" si="4"/>
        <v>23</v>
      </c>
      <c r="V23" s="18">
        <f t="shared" si="10"/>
        <v>0.3624587847385774</v>
      </c>
      <c r="W23" s="18">
        <f t="shared" si="11"/>
        <v>0.53135313531353134</v>
      </c>
      <c r="Y23" s="18">
        <f>($AF$2-$AA$2)*($AF$3-W23)-($AF$2-V23)*($AF$3-$AA$3)</f>
        <v>0.10618807994789126</v>
      </c>
      <c r="Z23" s="29" t="s">
        <v>50</v>
      </c>
      <c r="AA23" s="34">
        <f>(ABS(($AF$2-$AA$2)*($AF$3-W23)-($AF$2-V23)*($AF$3-$AA$3)))/SQRT((AF$2-AA$2)^2+($AF$3-$AA$3)^2)</f>
        <v>7.5086311412333157E-2</v>
      </c>
      <c r="AB23" s="36">
        <f t="shared" si="9"/>
        <v>-7.5086311412333157E-2</v>
      </c>
      <c r="AH23" s="60">
        <v>-4.1275349079115703E-2</v>
      </c>
      <c r="AI23" s="3">
        <f>INDEX($U$6:$U$40,MATCH(AH23,$AB$6:$AB$40,0))</f>
        <v>32</v>
      </c>
    </row>
    <row r="24" spans="1:35">
      <c r="A24" s="6"/>
      <c r="B24" s="5">
        <v>19</v>
      </c>
      <c r="C24" s="6"/>
      <c r="D24" s="5">
        <v>1</v>
      </c>
      <c r="E24" s="5">
        <v>0</v>
      </c>
      <c r="F24" s="5">
        <v>1</v>
      </c>
      <c r="G24" s="5">
        <v>0</v>
      </c>
      <c r="H24" s="5">
        <v>3</v>
      </c>
      <c r="I24" s="5">
        <v>1</v>
      </c>
      <c r="J24" s="3">
        <v>5</v>
      </c>
      <c r="K24" s="5">
        <v>6</v>
      </c>
      <c r="L24" s="3">
        <v>5</v>
      </c>
      <c r="M24" s="3">
        <v>7</v>
      </c>
      <c r="N24" s="5">
        <v>1</v>
      </c>
      <c r="P24" s="8">
        <f t="shared" si="0"/>
        <v>551.4</v>
      </c>
      <c r="Q24" s="10">
        <f t="shared" si="2"/>
        <v>0.54945831370701836</v>
      </c>
      <c r="R24" s="8">
        <f t="shared" si="1"/>
        <v>237</v>
      </c>
      <c r="S24" s="10">
        <f t="shared" si="3"/>
        <v>0.84158415841584155</v>
      </c>
      <c r="U24" s="1">
        <f t="shared" si="4"/>
        <v>24</v>
      </c>
      <c r="V24" s="18">
        <f t="shared" si="10"/>
        <v>9.4441827602449457E-2</v>
      </c>
      <c r="W24" s="18">
        <f t="shared" si="11"/>
        <v>0.50495049504950495</v>
      </c>
      <c r="Y24" s="18">
        <f>($AF$2-$AA$2)*($AF$3-W24)-($AF$2-V24)*($AF$3-$AA$3)</f>
        <v>0.40060767734804559</v>
      </c>
      <c r="Z24" s="29" t="s">
        <v>50</v>
      </c>
      <c r="AA24" s="34">
        <f>(ABS(($AF$2-$AA$2)*($AF$3-W24)-($AF$2-V24)*($AF$3-$AA$3)))/SQRT((AF$2-AA$2)^2+($AF$3-$AA$3)^2)</f>
        <v>0.28327240524819547</v>
      </c>
      <c r="AB24" s="36">
        <f t="shared" si="9"/>
        <v>-0.28327240524819547</v>
      </c>
      <c r="AH24" s="60">
        <v>-4.5101252631004084E-2</v>
      </c>
      <c r="AI24" s="3">
        <f t="shared" si="8"/>
        <v>39</v>
      </c>
    </row>
    <row r="25" spans="1:35">
      <c r="A25" s="6"/>
      <c r="B25" s="5">
        <v>20</v>
      </c>
      <c r="C25" s="6"/>
      <c r="D25" s="5">
        <v>1</v>
      </c>
      <c r="E25" s="5">
        <v>0</v>
      </c>
      <c r="F25" s="5">
        <v>0</v>
      </c>
      <c r="G25" s="5">
        <v>0</v>
      </c>
      <c r="H25" s="5">
        <v>8</v>
      </c>
      <c r="I25" s="5">
        <v>0</v>
      </c>
      <c r="J25" s="3">
        <v>5</v>
      </c>
      <c r="K25" s="5">
        <v>4</v>
      </c>
      <c r="L25" s="3">
        <v>7</v>
      </c>
      <c r="M25" s="3">
        <v>3</v>
      </c>
      <c r="N25" s="5">
        <v>0</v>
      </c>
      <c r="P25" s="8">
        <f t="shared" si="0"/>
        <v>640.4</v>
      </c>
      <c r="Q25" s="10">
        <f t="shared" si="2"/>
        <v>0.44465379180405096</v>
      </c>
      <c r="R25" s="8">
        <f t="shared" si="1"/>
        <v>103</v>
      </c>
      <c r="S25" s="10">
        <f t="shared" si="3"/>
        <v>0.39933993399339934</v>
      </c>
      <c r="U25" s="1">
        <f t="shared" si="4"/>
        <v>25</v>
      </c>
      <c r="V25" s="18">
        <f t="shared" si="10"/>
        <v>0.20348563353744697</v>
      </c>
      <c r="W25" s="18">
        <f t="shared" si="11"/>
        <v>0.38613861386138615</v>
      </c>
      <c r="Y25" s="18">
        <f>($AF$2-$AA$2)*($AF$3-W25)-($AF$2-V25)*($AF$3-$AA$3)</f>
        <v>0.41037575260116688</v>
      </c>
      <c r="Z25" s="29" t="s">
        <v>50</v>
      </c>
      <c r="AA25" s="34">
        <f>(ABS(($AF$2-$AA$2)*($AF$3-W25)-($AF$2-V25)*($AF$3-$AA$3)))/SQRT((AF$2-AA$2)^2+($AF$3-$AA$3)^2)</f>
        <v>0.29017947749881806</v>
      </c>
      <c r="AB25" s="36">
        <f t="shared" si="9"/>
        <v>-0.29017947749881806</v>
      </c>
      <c r="AH25" s="60">
        <v>-5.5202715262832762E-2</v>
      </c>
      <c r="AI25" s="3">
        <f t="shared" si="8"/>
        <v>17</v>
      </c>
    </row>
    <row r="26" spans="1:35">
      <c r="A26" s="6"/>
      <c r="B26" s="5">
        <v>21</v>
      </c>
      <c r="C26" s="6"/>
      <c r="D26" s="5">
        <v>1</v>
      </c>
      <c r="E26" s="5">
        <v>0</v>
      </c>
      <c r="F26" s="5">
        <v>0</v>
      </c>
      <c r="G26" s="5">
        <v>1</v>
      </c>
      <c r="H26" s="5">
        <v>7</v>
      </c>
      <c r="I26" s="5">
        <v>1</v>
      </c>
      <c r="J26" s="3">
        <v>6</v>
      </c>
      <c r="K26" s="5">
        <v>5</v>
      </c>
      <c r="L26" s="3">
        <v>5</v>
      </c>
      <c r="M26" s="3">
        <v>6</v>
      </c>
      <c r="N26" s="5">
        <v>1</v>
      </c>
      <c r="P26" s="8">
        <f t="shared" si="0"/>
        <v>591.6</v>
      </c>
      <c r="Q26" s="10">
        <f t="shared" si="2"/>
        <v>0.50211964201601511</v>
      </c>
      <c r="R26" s="8">
        <f t="shared" si="1"/>
        <v>211</v>
      </c>
      <c r="S26" s="10">
        <f t="shared" si="3"/>
        <v>0.75577557755775582</v>
      </c>
      <c r="U26" s="1">
        <f t="shared" si="4"/>
        <v>27</v>
      </c>
      <c r="V26" s="18">
        <f>Q32</f>
        <v>0.53320772491756951</v>
      </c>
      <c r="W26" s="18">
        <f>S32</f>
        <v>0.71617161716171618</v>
      </c>
      <c r="Y26" s="18">
        <f>($AF$2-$AA$2)*($AF$3-W26)-($AF$2-V26)*($AF$3-$AA$3)</f>
        <v>-0.24937934207928569</v>
      </c>
      <c r="Z26" s="29" t="s">
        <v>50</v>
      </c>
      <c r="AA26" s="34">
        <f>(ABS(($AF$2-$AA$2)*($AF$3-W26)-($AF$2-V26)*($AF$3-$AA$3)))/SQRT((AF$2-AA$2)^2+($AF$3-$AA$3)^2)</f>
        <v>0.17633782387210264</v>
      </c>
      <c r="AB26" s="36">
        <f t="shared" si="9"/>
        <v>0.17633782387210264</v>
      </c>
      <c r="AH26" s="60">
        <v>-6.1903680081770454E-2</v>
      </c>
      <c r="AI26" s="3">
        <f t="shared" si="8"/>
        <v>3</v>
      </c>
    </row>
    <row r="27" spans="1:35">
      <c r="A27" s="6"/>
      <c r="B27" s="5">
        <v>22</v>
      </c>
      <c r="C27" s="6"/>
      <c r="D27" s="5">
        <v>1</v>
      </c>
      <c r="E27" s="5">
        <v>0</v>
      </c>
      <c r="F27" s="5">
        <v>0</v>
      </c>
      <c r="G27" s="5">
        <v>1</v>
      </c>
      <c r="H27" s="5">
        <v>10</v>
      </c>
      <c r="I27" s="5">
        <v>0</v>
      </c>
      <c r="J27" s="3">
        <v>9</v>
      </c>
      <c r="K27" s="5">
        <v>7</v>
      </c>
      <c r="L27" s="3">
        <v>10</v>
      </c>
      <c r="M27" s="3">
        <v>3</v>
      </c>
      <c r="N27" s="5">
        <v>1</v>
      </c>
      <c r="P27" s="8">
        <f t="shared" si="0"/>
        <v>1018</v>
      </c>
      <c r="Q27" s="10">
        <f t="shared" si="2"/>
        <v>0</v>
      </c>
      <c r="R27" s="8">
        <f t="shared" si="1"/>
        <v>39</v>
      </c>
      <c r="S27" s="10">
        <f t="shared" si="3"/>
        <v>0.18811881188118812</v>
      </c>
      <c r="U27" s="1">
        <f t="shared" si="4"/>
        <v>28</v>
      </c>
      <c r="V27" s="18">
        <f>Q33</f>
        <v>0.48893075836081024</v>
      </c>
      <c r="W27" s="18">
        <f>S33</f>
        <v>0.65676567656765672</v>
      </c>
      <c r="Y27" s="18">
        <f>($AF$2-$AA$2)*($AF$3-W27)-($AF$2-V27)*($AF$3-$AA$3)</f>
        <v>-0.14569643492846696</v>
      </c>
      <c r="Z27" s="29" t="s">
        <v>50</v>
      </c>
      <c r="AA27" s="34">
        <f>(ABS(($AF$2-$AA$2)*($AF$3-W27)-($AF$2-V27)*($AF$3-$AA$3)))/SQRT((AF$2-AA$2)^2+($AF$3-$AA$3)^2)</f>
        <v>0.10302293713262353</v>
      </c>
      <c r="AB27" s="36">
        <f t="shared" si="9"/>
        <v>0.10302293713262353</v>
      </c>
      <c r="AH27" s="60">
        <v>-6.9222417575944842E-2</v>
      </c>
      <c r="AI27" s="3">
        <f t="shared" si="8"/>
        <v>50</v>
      </c>
    </row>
    <row r="28" spans="1:35">
      <c r="A28" s="6"/>
      <c r="B28" s="5">
        <v>23</v>
      </c>
      <c r="C28" s="6"/>
      <c r="D28" s="5">
        <v>1</v>
      </c>
      <c r="E28" s="5">
        <v>0</v>
      </c>
      <c r="F28" s="5">
        <v>1</v>
      </c>
      <c r="G28" s="5">
        <v>0</v>
      </c>
      <c r="H28" s="5">
        <v>4</v>
      </c>
      <c r="I28" s="5">
        <v>0</v>
      </c>
      <c r="J28" s="3">
        <v>6</v>
      </c>
      <c r="K28" s="5">
        <v>5</v>
      </c>
      <c r="L28" s="3">
        <v>7</v>
      </c>
      <c r="M28" s="3">
        <v>4</v>
      </c>
      <c r="N28" s="5">
        <v>1</v>
      </c>
      <c r="P28" s="8">
        <f t="shared" si="0"/>
        <v>710.2</v>
      </c>
      <c r="Q28" s="10">
        <f t="shared" si="2"/>
        <v>0.3624587847385774</v>
      </c>
      <c r="R28" s="8">
        <f t="shared" si="1"/>
        <v>143</v>
      </c>
      <c r="S28" s="10">
        <f t="shared" si="3"/>
        <v>0.53135313531353134</v>
      </c>
      <c r="U28" s="1">
        <f t="shared" si="4"/>
        <v>30</v>
      </c>
      <c r="V28" s="18">
        <f>Q35</f>
        <v>0.56194065002355165</v>
      </c>
      <c r="W28" s="18">
        <f>S35</f>
        <v>0.82838283828382842</v>
      </c>
      <c r="Y28" s="18">
        <f>($AF$2-$AA$2)*($AF$3-W28)-($AF$2-V28)*($AF$3-$AA$3)</f>
        <v>-0.39032348830738006</v>
      </c>
      <c r="Z28" s="29" t="s">
        <v>50</v>
      </c>
      <c r="AA28" s="34">
        <f>(ABS(($AF$2-$AA$2)*($AF$3-W28)-($AF$2-V28)*($AF$3-$AA$3)))/SQRT((AF$2-AA$2)^2+($AF$3-$AA$3)^2)</f>
        <v>0.2760003854385365</v>
      </c>
      <c r="AB28" s="36">
        <f t="shared" si="9"/>
        <v>0.2760003854385365</v>
      </c>
      <c r="AH28" s="60">
        <v>-7.5086311412333157E-2</v>
      </c>
      <c r="AI28" s="3">
        <f t="shared" si="8"/>
        <v>23</v>
      </c>
    </row>
    <row r="29" spans="1:35">
      <c r="A29" s="6"/>
      <c r="B29" s="5">
        <v>24</v>
      </c>
      <c r="C29" s="6"/>
      <c r="D29" s="5">
        <v>1</v>
      </c>
      <c r="E29" s="5">
        <v>0</v>
      </c>
      <c r="F29" s="5">
        <v>1</v>
      </c>
      <c r="G29" s="5">
        <v>0</v>
      </c>
      <c r="H29" s="5">
        <v>6</v>
      </c>
      <c r="I29" s="5">
        <v>0</v>
      </c>
      <c r="J29" s="3">
        <v>7</v>
      </c>
      <c r="K29" s="5">
        <v>7</v>
      </c>
      <c r="L29" s="3">
        <v>10</v>
      </c>
      <c r="M29" s="3">
        <v>6</v>
      </c>
      <c r="N29" s="5">
        <v>1</v>
      </c>
      <c r="P29" s="8">
        <f t="shared" si="0"/>
        <v>937.8</v>
      </c>
      <c r="Q29" s="10">
        <f t="shared" si="2"/>
        <v>9.4441827602449457E-2</v>
      </c>
      <c r="R29" s="8">
        <f t="shared" si="1"/>
        <v>135</v>
      </c>
      <c r="S29" s="10">
        <f t="shared" si="3"/>
        <v>0.50495049504950495</v>
      </c>
      <c r="U29" s="1">
        <f t="shared" si="4"/>
        <v>31</v>
      </c>
      <c r="V29" s="18">
        <f>Q36</f>
        <v>0.49458313707018375</v>
      </c>
      <c r="W29" s="18">
        <f>S36</f>
        <v>0.86798679867986794</v>
      </c>
      <c r="Y29" s="18">
        <f>($AF$2-$AA$2)*($AF$3-W29)-($AF$2-V29)*($AF$3-$AA$3)</f>
        <v>-0.3625699357500517</v>
      </c>
      <c r="Z29" s="29" t="s">
        <v>50</v>
      </c>
      <c r="AA29" s="34">
        <f>(ABS(($AF$2-$AA$2)*($AF$3-W29)-($AF$2-V29)*($AF$3-$AA$3)))/SQRT((AF$2-AA$2)^2+($AF$3-$AA$3)^2)</f>
        <v>0.25637566022323238</v>
      </c>
      <c r="AB29" s="36">
        <f t="shared" si="9"/>
        <v>0.25637566022323238</v>
      </c>
      <c r="AH29" s="60">
        <v>-0.10490043843031789</v>
      </c>
      <c r="AI29" s="3">
        <f t="shared" si="8"/>
        <v>13</v>
      </c>
    </row>
    <row r="30" spans="1:35">
      <c r="A30" s="6"/>
      <c r="B30" s="5">
        <v>25</v>
      </c>
      <c r="C30" s="6"/>
      <c r="D30" s="5">
        <v>1</v>
      </c>
      <c r="E30" s="5">
        <v>0</v>
      </c>
      <c r="F30" s="5">
        <v>0</v>
      </c>
      <c r="G30" s="5">
        <v>0</v>
      </c>
      <c r="H30" s="5">
        <v>4</v>
      </c>
      <c r="I30" s="5">
        <v>0</v>
      </c>
      <c r="J30" s="3">
        <v>8</v>
      </c>
      <c r="K30" s="5">
        <v>5</v>
      </c>
      <c r="L30" s="3">
        <v>10</v>
      </c>
      <c r="M30" s="3">
        <v>3</v>
      </c>
      <c r="N30" s="5">
        <v>1</v>
      </c>
      <c r="P30" s="8">
        <f t="shared" si="0"/>
        <v>845.2</v>
      </c>
      <c r="Q30" s="10">
        <f t="shared" si="2"/>
        <v>0.20348563353744697</v>
      </c>
      <c r="R30" s="8">
        <f t="shared" si="1"/>
        <v>99</v>
      </c>
      <c r="S30" s="10">
        <f t="shared" si="3"/>
        <v>0.38613861386138615</v>
      </c>
      <c r="U30" s="1">
        <f t="shared" si="4"/>
        <v>32</v>
      </c>
      <c r="V30" s="18">
        <f>Q37</f>
        <v>0.40367404616109281</v>
      </c>
      <c r="W30" s="18">
        <f>S37</f>
        <v>0.53795379537953791</v>
      </c>
      <c r="Y30" s="18">
        <f>($AF$2-$AA$2)*($AF$3-W30)-($AF$2-V30)*($AF$3-$AA$3)</f>
        <v>5.8372158459369272E-2</v>
      </c>
      <c r="Z30" s="29" t="s">
        <v>50</v>
      </c>
      <c r="AA30" s="34">
        <f>(ABS(($AF$2-$AA$2)*($AF$3-W30)-($AF$2-V30)*($AF$3-$AA$3)))/SQRT((AF$2-AA$2)^2+($AF$3-$AA$3)^2)</f>
        <v>4.1275349079115703E-2</v>
      </c>
      <c r="AB30" s="36">
        <f t="shared" si="9"/>
        <v>-4.1275349079115703E-2</v>
      </c>
      <c r="AH30" s="60">
        <v>-0.11031309439627084</v>
      </c>
      <c r="AI30" s="3">
        <f t="shared" si="8"/>
        <v>20</v>
      </c>
    </row>
    <row r="31" spans="1:35">
      <c r="A31" s="6"/>
      <c r="B31" s="5">
        <v>26</v>
      </c>
      <c r="C31" s="6"/>
      <c r="D31" s="5">
        <v>1</v>
      </c>
      <c r="E31" s="5">
        <v>0</v>
      </c>
      <c r="F31" s="5">
        <v>0</v>
      </c>
      <c r="G31" s="5">
        <v>0</v>
      </c>
      <c r="H31" s="5">
        <v>10</v>
      </c>
      <c r="I31" s="5">
        <v>1</v>
      </c>
      <c r="J31" s="3">
        <v>4</v>
      </c>
      <c r="K31" s="5">
        <v>4</v>
      </c>
      <c r="L31" s="3">
        <v>5</v>
      </c>
      <c r="M31" s="3">
        <v>7</v>
      </c>
      <c r="N31" s="5">
        <v>1</v>
      </c>
      <c r="P31" s="8">
        <f t="shared" si="0"/>
        <v>498</v>
      </c>
      <c r="Q31" s="10">
        <f t="shared" si="2"/>
        <v>0.61234102684879899</v>
      </c>
      <c r="R31" s="8">
        <f t="shared" si="1"/>
        <v>285</v>
      </c>
      <c r="S31" s="10">
        <f t="shared" si="3"/>
        <v>1</v>
      </c>
      <c r="U31" s="1">
        <f t="shared" si="4"/>
        <v>33</v>
      </c>
      <c r="V31" s="18">
        <f>Q38</f>
        <v>0.45642958078191243</v>
      </c>
      <c r="W31" s="18">
        <f>S38</f>
        <v>0.66996699669966997</v>
      </c>
      <c r="Y31" s="18">
        <f>($AF$2-$AA$2)*($AF$3-W31)-($AF$2-V31)*($AF$3-$AA$3)</f>
        <v>-0.1263965774815824</v>
      </c>
      <c r="Z31" s="29" t="s">
        <v>50</v>
      </c>
      <c r="AA31" s="34">
        <f>(ABS(($AF$2-$AA$2)*($AF$3-W31)-($AF$2-V31)*($AF$3-$AA$3)))/SQRT((AF$2-AA$2)^2+($AF$3-$AA$3)^2)</f>
        <v>8.9375877055997782E-2</v>
      </c>
      <c r="AB31" s="36">
        <f t="shared" si="9"/>
        <v>8.9375877055997782E-2</v>
      </c>
      <c r="AH31" s="60">
        <v>-0.13134869368393481</v>
      </c>
      <c r="AI31" s="3">
        <f t="shared" si="8"/>
        <v>34</v>
      </c>
    </row>
    <row r="32" spans="1:35">
      <c r="A32" s="6"/>
      <c r="B32" s="5">
        <v>27</v>
      </c>
      <c r="C32" s="6"/>
      <c r="D32" s="5">
        <v>1</v>
      </c>
      <c r="E32" s="5">
        <v>0</v>
      </c>
      <c r="F32" s="5">
        <v>0</v>
      </c>
      <c r="G32" s="5">
        <v>0</v>
      </c>
      <c r="H32" s="5">
        <v>4</v>
      </c>
      <c r="I32" s="5">
        <v>0</v>
      </c>
      <c r="J32" s="3">
        <v>5</v>
      </c>
      <c r="K32" s="5">
        <v>2</v>
      </c>
      <c r="L32" s="3">
        <v>7</v>
      </c>
      <c r="M32" s="3">
        <v>6</v>
      </c>
      <c r="N32" s="5">
        <v>0</v>
      </c>
      <c r="P32" s="8">
        <f t="shared" si="0"/>
        <v>565.20000000000005</v>
      </c>
      <c r="Q32" s="10">
        <f t="shared" si="2"/>
        <v>0.53320772491756951</v>
      </c>
      <c r="R32" s="8">
        <f t="shared" si="1"/>
        <v>199</v>
      </c>
      <c r="S32" s="10">
        <f t="shared" si="3"/>
        <v>0.71617161716171618</v>
      </c>
      <c r="U32" s="1">
        <f t="shared" si="4"/>
        <v>34</v>
      </c>
      <c r="V32" s="18">
        <f>Q39</f>
        <v>0.24328780028261909</v>
      </c>
      <c r="W32" s="18">
        <f>S39</f>
        <v>0.57095709570957098</v>
      </c>
      <c r="Y32" s="18">
        <f>($AF$2-$AA$2)*($AF$3-W32)-($AF$2-V32)*($AF$3-$AA$3)</f>
        <v>0.18575510400780992</v>
      </c>
      <c r="Z32" s="29" t="s">
        <v>50</v>
      </c>
      <c r="AA32" s="34">
        <f>(ABS(($AF$2-$AA$2)*($AF$3-W32)-($AF$2-V32)*($AF$3-$AA$3)))/SQRT((AF$2-AA$2)^2+($AF$3-$AA$3)^2)</f>
        <v>0.13134869368393481</v>
      </c>
      <c r="AB32" s="36">
        <f t="shared" si="9"/>
        <v>-0.13134869368393481</v>
      </c>
      <c r="AH32" s="59">
        <v>-0.1801906587950646</v>
      </c>
      <c r="AI32" s="3">
        <f t="shared" si="8"/>
        <v>52</v>
      </c>
    </row>
    <row r="33" spans="1:35">
      <c r="A33" s="6"/>
      <c r="B33" s="5">
        <v>28</v>
      </c>
      <c r="C33" s="6"/>
      <c r="D33" s="5">
        <v>1</v>
      </c>
      <c r="E33" s="5">
        <v>0</v>
      </c>
      <c r="F33" s="5">
        <v>0</v>
      </c>
      <c r="G33" s="5">
        <v>0</v>
      </c>
      <c r="H33" s="5">
        <v>6</v>
      </c>
      <c r="I33" s="5">
        <v>0</v>
      </c>
      <c r="J33" s="3">
        <v>6</v>
      </c>
      <c r="K33" s="5">
        <v>4</v>
      </c>
      <c r="L33" s="3">
        <v>6</v>
      </c>
      <c r="M33" s="3">
        <v>5</v>
      </c>
      <c r="N33" s="5">
        <v>1</v>
      </c>
      <c r="P33" s="8">
        <f t="shared" si="0"/>
        <v>602.79999999999995</v>
      </c>
      <c r="Q33" s="10">
        <f t="shared" si="2"/>
        <v>0.48893075836081024</v>
      </c>
      <c r="R33" s="8">
        <f t="shared" si="1"/>
        <v>181</v>
      </c>
      <c r="S33" s="10">
        <f t="shared" si="3"/>
        <v>0.65676567656765672</v>
      </c>
      <c r="U33" s="1">
        <f t="shared" si="4"/>
        <v>37</v>
      </c>
      <c r="V33" s="18">
        <f>Q42</f>
        <v>4.1215261422515304E-2</v>
      </c>
      <c r="W33" s="18">
        <f>S42</f>
        <v>0.23432343234323433</v>
      </c>
      <c r="Y33" s="18">
        <f>($AF$2-$AA$2)*($AF$3-W33)-($AF$2-V33)*($AF$3-$AA$3)</f>
        <v>0.72446130623425042</v>
      </c>
      <c r="Z33" s="29" t="s">
        <v>50</v>
      </c>
      <c r="AA33" s="34">
        <f>(ABS(($AF$2-$AA$2)*($AF$3-W33)-($AF$2-V33)*($AF$3-$AA$3)))/SQRT((AF$2-AA$2)^2+($AF$3-$AA$3)^2)</f>
        <v>0.51227150234550245</v>
      </c>
      <c r="AB33" s="36">
        <f t="shared" si="9"/>
        <v>-0.51227150234550245</v>
      </c>
      <c r="AH33" s="59">
        <v>-0.23151965358185808</v>
      </c>
      <c r="AI33" s="3">
        <f t="shared" si="8"/>
        <v>14</v>
      </c>
    </row>
    <row r="34" spans="1:35">
      <c r="A34" s="6"/>
      <c r="B34" s="5">
        <v>29</v>
      </c>
      <c r="C34" s="6"/>
      <c r="D34" s="5">
        <v>1</v>
      </c>
      <c r="E34" s="5">
        <v>0</v>
      </c>
      <c r="F34" s="5">
        <v>0</v>
      </c>
      <c r="G34" s="5">
        <v>0</v>
      </c>
      <c r="H34" s="5">
        <v>10</v>
      </c>
      <c r="I34" s="5">
        <v>0</v>
      </c>
      <c r="J34" s="3">
        <v>5</v>
      </c>
      <c r="K34" s="5">
        <v>2</v>
      </c>
      <c r="L34" s="3">
        <v>7</v>
      </c>
      <c r="M34" s="3">
        <v>4</v>
      </c>
      <c r="N34" s="5">
        <v>0</v>
      </c>
      <c r="P34" s="8">
        <f t="shared" si="0"/>
        <v>618</v>
      </c>
      <c r="Q34" s="10">
        <f t="shared" si="2"/>
        <v>0.47103155911446071</v>
      </c>
      <c r="R34" s="8">
        <f t="shared" si="1"/>
        <v>159</v>
      </c>
      <c r="S34" s="10">
        <f t="shared" si="3"/>
        <v>0.58415841584158412</v>
      </c>
      <c r="U34" s="1">
        <f t="shared" si="4"/>
        <v>39</v>
      </c>
      <c r="V34" s="18">
        <f>Q44</f>
        <v>0.39166274140367419</v>
      </c>
      <c r="W34" s="18">
        <f>S44</f>
        <v>0.54455445544554459</v>
      </c>
      <c r="Y34" s="18">
        <f>($AF$2-$AA$2)*($AF$3-W34)-($AF$2-V34)*($AF$3-$AA$3)</f>
        <v>6.378280315078122E-2</v>
      </c>
      <c r="Z34" s="29" t="s">
        <v>50</v>
      </c>
      <c r="AA34" s="34">
        <f>(ABS(($AF$2-$AA$2)*($AF$3-W34)-($AF$2-V34)*($AF$3-$AA$3)))/SQRT((AF$2-AA$2)^2+($AF$3-$AA$3)^2)</f>
        <v>4.5101252631004084E-2</v>
      </c>
      <c r="AB34" s="36">
        <f t="shared" si="9"/>
        <v>-4.5101252631004084E-2</v>
      </c>
      <c r="AH34" s="62">
        <v>-0.28327240524819547</v>
      </c>
      <c r="AI34" s="3">
        <f t="shared" si="8"/>
        <v>24</v>
      </c>
    </row>
    <row r="35" spans="1:35">
      <c r="A35" s="6"/>
      <c r="B35" s="5">
        <v>30</v>
      </c>
      <c r="C35" s="6"/>
      <c r="D35" s="5">
        <v>1</v>
      </c>
      <c r="E35" s="5">
        <v>0</v>
      </c>
      <c r="F35" s="5">
        <v>0</v>
      </c>
      <c r="G35" s="5">
        <v>0</v>
      </c>
      <c r="H35" s="5">
        <v>16</v>
      </c>
      <c r="I35" s="5">
        <v>0</v>
      </c>
      <c r="J35" s="3">
        <v>3</v>
      </c>
      <c r="K35" s="5">
        <v>2</v>
      </c>
      <c r="L35" s="3">
        <v>5</v>
      </c>
      <c r="M35" s="3">
        <v>4</v>
      </c>
      <c r="N35" s="5">
        <v>1</v>
      </c>
      <c r="P35" s="8">
        <f t="shared" si="0"/>
        <v>540.79999999999995</v>
      </c>
      <c r="Q35" s="10">
        <f t="shared" si="2"/>
        <v>0.56194065002355165</v>
      </c>
      <c r="R35" s="8">
        <f t="shared" si="1"/>
        <v>233</v>
      </c>
      <c r="S35" s="10">
        <f t="shared" si="3"/>
        <v>0.82838283828382842</v>
      </c>
      <c r="U35" s="1">
        <f t="shared" si="4"/>
        <v>40</v>
      </c>
      <c r="V35" s="18">
        <f>Q45</f>
        <v>0.33584550164861049</v>
      </c>
      <c r="W35" s="18">
        <f>S45</f>
        <v>0.26072607260726072</v>
      </c>
      <c r="Y35" s="18">
        <f>($AF$2-$AA$2)*($AF$3-W35)-($AF$2-V35)*($AF$3-$AA$3)</f>
        <v>0.40342842574412879</v>
      </c>
      <c r="Z35" s="29" t="s">
        <v>50</v>
      </c>
      <c r="AA35" s="34">
        <f>(ABS(($AF$2-$AA$2)*($AF$3-W35)-($AF$2-V35)*($AF$3-$AA$3)))/SQRT((AF$2-AA$2)^2+($AF$3-$AA$3)^2)</f>
        <v>0.28526697556708702</v>
      </c>
      <c r="AB35" s="36">
        <f t="shared" si="9"/>
        <v>-0.28526697556708702</v>
      </c>
      <c r="AH35" s="62">
        <v>-0.28526697556708702</v>
      </c>
      <c r="AI35" s="3">
        <f t="shared" si="8"/>
        <v>40</v>
      </c>
    </row>
    <row r="36" spans="1:35">
      <c r="A36" s="6"/>
      <c r="B36" s="5">
        <v>31</v>
      </c>
      <c r="C36" s="6"/>
      <c r="D36" s="5">
        <v>1</v>
      </c>
      <c r="E36" s="5">
        <v>0</v>
      </c>
      <c r="F36" s="5">
        <v>0</v>
      </c>
      <c r="G36" s="5">
        <v>0</v>
      </c>
      <c r="H36" s="5">
        <v>10</v>
      </c>
      <c r="I36" s="5">
        <v>0</v>
      </c>
      <c r="J36" s="3">
        <v>4</v>
      </c>
      <c r="K36" s="5">
        <v>4</v>
      </c>
      <c r="L36" s="3">
        <v>6</v>
      </c>
      <c r="M36" s="3">
        <v>7</v>
      </c>
      <c r="N36" s="5">
        <v>1</v>
      </c>
      <c r="P36" s="8">
        <f t="shared" si="0"/>
        <v>598</v>
      </c>
      <c r="Q36" s="10">
        <f t="shared" si="2"/>
        <v>0.49458313707018375</v>
      </c>
      <c r="R36" s="8">
        <f t="shared" si="1"/>
        <v>245</v>
      </c>
      <c r="S36" s="10">
        <f t="shared" si="3"/>
        <v>0.86798679867986794</v>
      </c>
      <c r="U36" s="1">
        <f t="shared" si="4"/>
        <v>41</v>
      </c>
      <c r="V36" s="18">
        <f>Q46</f>
        <v>0.47432878002826184</v>
      </c>
      <c r="W36" s="18">
        <f>S46</f>
        <v>0.52475247524752477</v>
      </c>
      <c r="Y36" s="18">
        <f>($AF$2-$AA$2)*($AF$3-W36)-($AF$2-V36)*($AF$3-$AA$3)</f>
        <v>9.1874472421338282E-4</v>
      </c>
      <c r="Z36" s="29" t="s">
        <v>50</v>
      </c>
      <c r="AA36" s="34">
        <f>(ABS(($AF$2-$AA$2)*($AF$3-W36)-($AF$2-V36)*($AF$3-$AA$3)))/SQRT((AF$2-AA$2)^2+($AF$3-$AA$3)^2)</f>
        <v>6.4965062467064745E-4</v>
      </c>
      <c r="AB36" s="36">
        <f t="shared" si="9"/>
        <v>-6.4965062467064745E-4</v>
      </c>
      <c r="AH36" s="62">
        <v>-0.29017947749881806</v>
      </c>
      <c r="AI36" s="3">
        <f t="shared" si="8"/>
        <v>25</v>
      </c>
    </row>
    <row r="37" spans="1:35">
      <c r="A37" s="6"/>
      <c r="B37" s="5">
        <v>32</v>
      </c>
      <c r="C37" s="6"/>
      <c r="D37" s="5">
        <v>1</v>
      </c>
      <c r="E37" s="5">
        <v>0</v>
      </c>
      <c r="F37" s="5">
        <v>0</v>
      </c>
      <c r="G37" s="5">
        <v>0</v>
      </c>
      <c r="H37" s="5">
        <v>4</v>
      </c>
      <c r="I37" s="5">
        <v>0</v>
      </c>
      <c r="J37" s="3">
        <v>6</v>
      </c>
      <c r="K37" s="5">
        <v>6</v>
      </c>
      <c r="L37" s="3">
        <v>7</v>
      </c>
      <c r="M37" s="3">
        <v>5</v>
      </c>
      <c r="N37" s="5">
        <v>1</v>
      </c>
      <c r="P37" s="8">
        <f t="shared" si="0"/>
        <v>675.2</v>
      </c>
      <c r="Q37" s="10">
        <f t="shared" si="2"/>
        <v>0.40367404616109281</v>
      </c>
      <c r="R37" s="8">
        <f t="shared" si="1"/>
        <v>145</v>
      </c>
      <c r="S37" s="10">
        <f t="shared" si="3"/>
        <v>0.53795379537953791</v>
      </c>
      <c r="U37" s="1">
        <f t="shared" si="4"/>
        <v>50</v>
      </c>
      <c r="V37" s="18">
        <f>Q55</f>
        <v>0.31794630240226096</v>
      </c>
      <c r="W37" s="18">
        <f>S55</f>
        <v>0.58415841584158412</v>
      </c>
      <c r="Y37" s="18">
        <f>($AF$2-$AA$2)*($AF$3-W37)-($AF$2-V37)*($AF$3-$AA$3)</f>
        <v>9.7895281756154917E-2</v>
      </c>
      <c r="Z37" s="29" t="s">
        <v>50</v>
      </c>
      <c r="AA37" s="34">
        <f>(ABS(($AF$2-$AA$2)*($AF$3-W37)-($AF$2-V37)*($AF$3-$AA$3)))/SQRT((AF$2-AA$2)^2+($AF$3-$AA$3)^2)</f>
        <v>6.9222417575944842E-2</v>
      </c>
      <c r="AB37" s="36">
        <f t="shared" si="9"/>
        <v>-6.9222417575944842E-2</v>
      </c>
      <c r="AH37" s="62">
        <v>-0.36315689767015175</v>
      </c>
      <c r="AI37" s="3">
        <f t="shared" si="8"/>
        <v>18</v>
      </c>
    </row>
    <row r="38" spans="1:35">
      <c r="A38" s="6"/>
      <c r="B38" s="5">
        <v>33</v>
      </c>
      <c r="C38" s="6"/>
      <c r="D38" s="5">
        <v>1</v>
      </c>
      <c r="E38" s="5">
        <v>0</v>
      </c>
      <c r="F38" s="5">
        <v>0</v>
      </c>
      <c r="G38" s="5">
        <v>0</v>
      </c>
      <c r="H38" s="5">
        <v>8</v>
      </c>
      <c r="I38" s="5">
        <v>0</v>
      </c>
      <c r="J38" s="3">
        <v>4</v>
      </c>
      <c r="K38" s="5">
        <v>4</v>
      </c>
      <c r="L38" s="3">
        <v>7</v>
      </c>
      <c r="M38" s="3">
        <v>4</v>
      </c>
      <c r="N38" s="5">
        <v>1</v>
      </c>
      <c r="P38" s="8">
        <f t="shared" ref="P38:P63" si="12">($D$4*D38+E38*$E$4+F38*$F$4+G38*$G$4+H38*$H$4+I38*$I$4+K38*$K$4+L38*$L$4+N38*$N$4+J38*$J$4)</f>
        <v>630.4</v>
      </c>
      <c r="Q38" s="10">
        <f t="shared" si="2"/>
        <v>0.45642958078191243</v>
      </c>
      <c r="R38" s="8">
        <f t="shared" ref="R38:R63" si="13">(D38*$D$2+E38*$E$2+$G$2*G38+I38*$I$2+J38*$J$2+K38*$K$2+M38*$M$2+N38*$N$2)</f>
        <v>185</v>
      </c>
      <c r="S38" s="10">
        <f t="shared" si="3"/>
        <v>0.66996699669966997</v>
      </c>
      <c r="U38" s="1">
        <f t="shared" si="4"/>
        <v>52</v>
      </c>
      <c r="V38" s="18">
        <f>Q57</f>
        <v>0.74517192651907682</v>
      </c>
      <c r="W38" s="18">
        <f>S57</f>
        <v>0</v>
      </c>
      <c r="Y38" s="18">
        <f>($AF$2-$AA$2)*($AF$3-W38)-($AF$2-V38)*($AF$3-$AA$3)</f>
        <v>0.25482807348092318</v>
      </c>
      <c r="Z38" s="29" t="s">
        <v>50</v>
      </c>
      <c r="AA38" s="34">
        <f>(ABS(($AF$2-$AA$2)*($AF$3-W38)-($AF$2-V38)*($AF$3-$AA$3)))/SQRT((AF$2-AA$2)^2+($AF$3-$AA$3)^2)</f>
        <v>0.1801906587950646</v>
      </c>
      <c r="AB38" s="36">
        <f t="shared" si="9"/>
        <v>-0.1801906587950646</v>
      </c>
      <c r="AH38" s="62">
        <v>-0.48734844208635331</v>
      </c>
      <c r="AI38" s="3">
        <f t="shared" si="8"/>
        <v>1</v>
      </c>
    </row>
    <row r="39" spans="1:35">
      <c r="A39" s="6"/>
      <c r="B39" s="5">
        <v>34</v>
      </c>
      <c r="C39" s="6"/>
      <c r="D39" s="5">
        <v>1</v>
      </c>
      <c r="E39" s="5">
        <v>0</v>
      </c>
      <c r="F39" s="5">
        <v>1</v>
      </c>
      <c r="G39" s="5">
        <v>0</v>
      </c>
      <c r="H39" s="5">
        <v>3</v>
      </c>
      <c r="I39" s="5">
        <v>0</v>
      </c>
      <c r="J39" s="3">
        <v>7</v>
      </c>
      <c r="K39" s="5">
        <v>7</v>
      </c>
      <c r="L39" s="3">
        <v>8</v>
      </c>
      <c r="M39" s="3">
        <v>7</v>
      </c>
      <c r="N39" s="5">
        <v>1</v>
      </c>
      <c r="P39" s="8">
        <f t="shared" si="12"/>
        <v>811.4</v>
      </c>
      <c r="Q39" s="10">
        <f t="shared" si="2"/>
        <v>0.24328780028261909</v>
      </c>
      <c r="R39" s="8">
        <f t="shared" si="13"/>
        <v>155</v>
      </c>
      <c r="S39" s="10">
        <f t="shared" si="3"/>
        <v>0.57095709570957098</v>
      </c>
      <c r="U39" s="1">
        <f t="shared" si="4"/>
        <v>55</v>
      </c>
      <c r="V39" s="18">
        <f>Q60</f>
        <v>0.74187470560527558</v>
      </c>
      <c r="W39" s="18">
        <f>S60</f>
        <v>0.34983498349834985</v>
      </c>
      <c r="Y39" s="18">
        <f>($AF$2-$AA$2)*($AF$3-W39)-($AF$2-V39)*($AF$3-$AA$3)</f>
        <v>-9.1709689103625425E-2</v>
      </c>
      <c r="Z39" s="29" t="s">
        <v>50</v>
      </c>
      <c r="AA39" s="34">
        <f>(ABS(($AF$2-$AA$2)*($AF$3-W39)-($AF$2-V39)*($AF$3-$AA$3)))/SQRT((AF$2-AA$2)^2+($AF$3-$AA$3)^2)</f>
        <v>6.4848543065683564E-2</v>
      </c>
      <c r="AB39" s="36">
        <f t="shared" si="9"/>
        <v>6.4848543065683564E-2</v>
      </c>
      <c r="AH39" s="61" t="str">
        <v>-</v>
      </c>
    </row>
    <row r="40" spans="1:35">
      <c r="A40" s="6"/>
      <c r="B40" s="5">
        <v>35</v>
      </c>
      <c r="C40" s="6"/>
      <c r="D40" s="5">
        <v>1</v>
      </c>
      <c r="E40" s="5">
        <v>0</v>
      </c>
      <c r="F40" s="5">
        <v>0</v>
      </c>
      <c r="G40" s="5">
        <v>0</v>
      </c>
      <c r="H40" s="5">
        <v>2</v>
      </c>
      <c r="I40" s="5">
        <v>1</v>
      </c>
      <c r="J40" s="3">
        <v>3</v>
      </c>
      <c r="K40" s="5">
        <v>5</v>
      </c>
      <c r="L40" s="3">
        <v>2</v>
      </c>
      <c r="M40" s="3">
        <v>5</v>
      </c>
      <c r="N40" s="5">
        <v>1</v>
      </c>
      <c r="P40" s="8">
        <f t="shared" si="12"/>
        <v>277.60000000000002</v>
      </c>
      <c r="Q40" s="10">
        <f t="shared" si="2"/>
        <v>0.87187941592086671</v>
      </c>
      <c r="R40" s="8">
        <f t="shared" si="13"/>
        <v>239</v>
      </c>
      <c r="S40" s="10">
        <f t="shared" si="3"/>
        <v>0.84818481848184824</v>
      </c>
      <c r="U40" s="1">
        <f t="shared" si="4"/>
        <v>58</v>
      </c>
      <c r="V40" s="18">
        <f>Q63</f>
        <v>0.76589731512011305</v>
      </c>
      <c r="W40" s="18">
        <f>S63</f>
        <v>0.35973597359735976</v>
      </c>
      <c r="Y40" s="18">
        <f>($AF$2-$AA$2)*($AF$3-W40)-($AF$2-V40)*($AF$3-$AA$3)</f>
        <v>-0.12563328871747281</v>
      </c>
      <c r="Z40" s="29" t="s">
        <v>50</v>
      </c>
      <c r="AA40" s="34">
        <f>(ABS(($AF$2-$AA$2)*($AF$3-W40)-($AF$2-V40)*($AF$3-$AA$3)))/SQRT((AF$2-AA$2)^2+($AF$3-$AA$3)^2)</f>
        <v>8.8836150394892385E-2</v>
      </c>
      <c r="AB40" s="36">
        <f t="shared" si="9"/>
        <v>8.8836150394892385E-2</v>
      </c>
      <c r="AH40" s="61" t="str">
        <v>-</v>
      </c>
    </row>
    <row r="41" spans="1:35">
      <c r="A41" s="6"/>
      <c r="B41" s="5">
        <v>36</v>
      </c>
      <c r="C41" s="6"/>
      <c r="D41" s="6">
        <v>0</v>
      </c>
      <c r="E41" s="5">
        <v>0</v>
      </c>
      <c r="F41" s="6">
        <v>0</v>
      </c>
      <c r="G41" s="6">
        <v>0</v>
      </c>
      <c r="H41" s="5">
        <v>6</v>
      </c>
      <c r="I41" s="6">
        <v>1</v>
      </c>
      <c r="J41" s="3">
        <v>5</v>
      </c>
      <c r="K41" s="5">
        <v>4</v>
      </c>
      <c r="L41" s="3">
        <v>5</v>
      </c>
      <c r="M41" s="3">
        <v>7</v>
      </c>
      <c r="N41" s="6">
        <v>1</v>
      </c>
      <c r="P41" s="8">
        <f t="shared" si="12"/>
        <v>442.8</v>
      </c>
      <c r="Q41" s="10">
        <f t="shared" si="2"/>
        <v>0.67734338200659439</v>
      </c>
      <c r="R41" s="8">
        <f t="shared" si="13"/>
        <v>98</v>
      </c>
      <c r="S41" s="10">
        <f t="shared" si="3"/>
        <v>0.38283828382838286</v>
      </c>
    </row>
    <row r="42" spans="1:35">
      <c r="A42" s="6"/>
      <c r="B42" s="5">
        <v>37</v>
      </c>
      <c r="C42" s="6"/>
      <c r="D42" s="5">
        <v>1</v>
      </c>
      <c r="E42" s="5">
        <v>0</v>
      </c>
      <c r="F42" s="5">
        <v>1</v>
      </c>
      <c r="G42" s="5">
        <v>0</v>
      </c>
      <c r="H42" s="5">
        <v>10</v>
      </c>
      <c r="I42" s="5">
        <v>0</v>
      </c>
      <c r="J42" s="3">
        <v>9</v>
      </c>
      <c r="K42" s="5">
        <v>8</v>
      </c>
      <c r="L42" s="3">
        <v>9</v>
      </c>
      <c r="M42" s="3">
        <v>4</v>
      </c>
      <c r="N42" s="5">
        <v>1</v>
      </c>
      <c r="P42" s="8">
        <f t="shared" si="12"/>
        <v>983</v>
      </c>
      <c r="Q42" s="10">
        <f t="shared" si="2"/>
        <v>4.1215261422515304E-2</v>
      </c>
      <c r="R42" s="8">
        <f t="shared" si="13"/>
        <v>53</v>
      </c>
      <c r="S42" s="10">
        <f t="shared" si="3"/>
        <v>0.23432343234323433</v>
      </c>
      <c r="V42" s="18">
        <f t="shared" ref="V42:V49" si="14">Q47</f>
        <v>0.57748469147432879</v>
      </c>
      <c r="W42" s="18">
        <f t="shared" ref="W42:W49" si="15">S47</f>
        <v>0.38613861386138615</v>
      </c>
      <c r="Y42" s="18">
        <f>($AF$2-$AA$2)*($AF$3-W42)-($AF$2-V42)*($AF$3-$AA$3)</f>
        <v>3.6376694664285059E-2</v>
      </c>
      <c r="Z42" s="29" t="s">
        <v>50</v>
      </c>
      <c r="AA42" s="34">
        <f>(ABS(($AF$2-$AA$2)*($AF$3-W42)-($AF$2-V42)*($AF$3-$AA$3)))/SQRT((AF$2-AA$2)^2+($AF$3-$AA$3)^2)</f>
        <v>2.5722207474268465E-2</v>
      </c>
      <c r="AB42" s="36">
        <f t="shared" ref="AB42:AB52" si="16">IF(Y42&gt;0,-AA42,AA42)</f>
        <v>-2.5722207474268465E-2</v>
      </c>
    </row>
    <row r="43" spans="1:35">
      <c r="A43" s="6"/>
      <c r="B43" s="5">
        <v>38</v>
      </c>
      <c r="C43" s="6"/>
      <c r="D43" s="6">
        <v>0</v>
      </c>
      <c r="E43" s="5">
        <v>0</v>
      </c>
      <c r="F43" s="6">
        <v>0</v>
      </c>
      <c r="G43" s="6">
        <v>0</v>
      </c>
      <c r="H43" s="5">
        <v>4</v>
      </c>
      <c r="I43" s="6">
        <v>1</v>
      </c>
      <c r="J43" s="3">
        <v>4</v>
      </c>
      <c r="K43" s="5">
        <v>6</v>
      </c>
      <c r="L43" s="3">
        <v>3</v>
      </c>
      <c r="M43" s="3">
        <v>8</v>
      </c>
      <c r="N43" s="6">
        <v>1</v>
      </c>
      <c r="P43" s="8">
        <f t="shared" si="12"/>
        <v>345.2</v>
      </c>
      <c r="Q43" s="10">
        <f t="shared" si="2"/>
        <v>0.79227508243052291</v>
      </c>
      <c r="R43" s="8">
        <f t="shared" si="13"/>
        <v>94</v>
      </c>
      <c r="S43" s="10">
        <f t="shared" si="3"/>
        <v>0.36963696369636961</v>
      </c>
      <c r="V43" s="18">
        <f t="shared" si="14"/>
        <v>0.32713141780499289</v>
      </c>
      <c r="W43" s="18">
        <f t="shared" si="15"/>
        <v>0.57755775577557755</v>
      </c>
      <c r="Y43" s="18">
        <f>($AF$2-$AA$2)*($AF$3-W43)-($AF$2-V43)*($AF$3-$AA$3)</f>
        <v>9.5310826419429562E-2</v>
      </c>
      <c r="Z43" s="29" t="s">
        <v>50</v>
      </c>
      <c r="AA43" s="34">
        <f>(ABS(($AF$2-$AA$2)*($AF$3-W43)-($AF$2-V43)*($AF$3-$AA$3)))/SQRT((AF$2-AA$2)^2+($AF$3-$AA$3)^2)</f>
        <v>6.7394931681672585E-2</v>
      </c>
      <c r="AB43" s="36">
        <f t="shared" si="16"/>
        <v>-6.7394931681672585E-2</v>
      </c>
    </row>
    <row r="44" spans="1:35">
      <c r="A44" s="6"/>
      <c r="B44" s="5">
        <v>39</v>
      </c>
      <c r="C44" s="6"/>
      <c r="D44" s="6">
        <v>1</v>
      </c>
      <c r="E44" s="5">
        <v>0</v>
      </c>
      <c r="F44" s="6">
        <v>1</v>
      </c>
      <c r="G44" s="6">
        <v>0</v>
      </c>
      <c r="H44" s="5">
        <v>8</v>
      </c>
      <c r="I44" s="6">
        <v>1</v>
      </c>
      <c r="J44" s="3">
        <v>6</v>
      </c>
      <c r="K44" s="5">
        <v>7</v>
      </c>
      <c r="L44" s="3">
        <v>6</v>
      </c>
      <c r="M44" s="3">
        <v>4</v>
      </c>
      <c r="N44" s="6">
        <v>1</v>
      </c>
      <c r="P44" s="8">
        <f t="shared" si="12"/>
        <v>685.4</v>
      </c>
      <c r="Q44" s="10">
        <f t="shared" si="2"/>
        <v>0.39166274140367419</v>
      </c>
      <c r="R44" s="8">
        <f t="shared" si="13"/>
        <v>147</v>
      </c>
      <c r="S44" s="10">
        <f t="shared" si="3"/>
        <v>0.54455445544554459</v>
      </c>
      <c r="V44" s="19">
        <f t="shared" si="14"/>
        <v>0.22397550635892605</v>
      </c>
      <c r="W44" s="19">
        <f t="shared" si="15"/>
        <v>0.14191419141914191</v>
      </c>
      <c r="Y44" s="18">
        <f>($AF$2-$AA$2)*($AF$3-W44)-($AF$2-V44)*($AF$3-$AA$3)</f>
        <v>0.6341103022219321</v>
      </c>
      <c r="Z44" s="29" t="s">
        <v>50</v>
      </c>
      <c r="AA44" s="34">
        <f>(ABS(($AF$2-$AA$2)*($AF$3-W44)-($AF$2-V44)*($AF$3-$AA$3)))/SQRT((AF$2-AA$2)^2+($AF$3-$AA$3)^2)</f>
        <v>0.44838369472137923</v>
      </c>
      <c r="AB44" s="36">
        <f t="shared" si="16"/>
        <v>-0.44838369472137923</v>
      </c>
    </row>
    <row r="45" spans="1:35">
      <c r="A45" s="6"/>
      <c r="B45" s="5">
        <v>40</v>
      </c>
      <c r="C45" s="6"/>
      <c r="D45" s="5">
        <v>1</v>
      </c>
      <c r="E45" s="5">
        <v>0</v>
      </c>
      <c r="F45" s="5">
        <v>0</v>
      </c>
      <c r="G45" s="5">
        <v>0</v>
      </c>
      <c r="H45" s="5">
        <v>6</v>
      </c>
      <c r="I45" s="5">
        <v>0</v>
      </c>
      <c r="J45" s="3">
        <v>7</v>
      </c>
      <c r="K45" s="5">
        <v>5</v>
      </c>
      <c r="L45" s="3">
        <v>8</v>
      </c>
      <c r="M45" s="3">
        <v>3</v>
      </c>
      <c r="N45" s="5">
        <v>0</v>
      </c>
      <c r="P45" s="8">
        <f t="shared" si="12"/>
        <v>732.8</v>
      </c>
      <c r="Q45" s="10">
        <f t="shared" si="2"/>
        <v>0.33584550164861049</v>
      </c>
      <c r="R45" s="8">
        <f t="shared" si="13"/>
        <v>61</v>
      </c>
      <c r="S45" s="10">
        <f t="shared" si="3"/>
        <v>0.26072607260726072</v>
      </c>
      <c r="T45"/>
      <c r="U45"/>
      <c r="V45" s="18">
        <f t="shared" si="14"/>
        <v>0.65379180405087145</v>
      </c>
      <c r="W45" s="18">
        <f t="shared" si="15"/>
        <v>0.55775577557755773</v>
      </c>
      <c r="Y45" s="18">
        <f>($AF$2-$AA$2)*($AF$3-W45)-($AF$2-V45)*($AF$3-$AA$3)</f>
        <v>-0.21154757962842918</v>
      </c>
      <c r="Z45" s="29" t="s">
        <v>50</v>
      </c>
      <c r="AA45" s="34">
        <f>(ABS(($AF$2-$AA$2)*($AF$3-W45)-($AF$2-V45)*($AF$3-$AA$3)))/SQRT((AF$2-AA$2)^2+($AF$3-$AA$3)^2)</f>
        <v>0.14958672809886339</v>
      </c>
      <c r="AB45" s="36">
        <f t="shared" si="16"/>
        <v>0.14958672809886339</v>
      </c>
    </row>
    <row r="46" spans="1:35">
      <c r="A46" s="6"/>
      <c r="B46" s="5">
        <v>41</v>
      </c>
      <c r="C46" s="6"/>
      <c r="D46" s="5">
        <v>1</v>
      </c>
      <c r="E46" s="5">
        <v>0</v>
      </c>
      <c r="F46" s="5">
        <v>0</v>
      </c>
      <c r="G46" s="5">
        <v>0</v>
      </c>
      <c r="H46" s="5">
        <v>4</v>
      </c>
      <c r="I46" s="5">
        <v>1</v>
      </c>
      <c r="J46" s="3">
        <v>7</v>
      </c>
      <c r="K46" s="5">
        <v>5</v>
      </c>
      <c r="L46" s="3">
        <v>7</v>
      </c>
      <c r="M46" s="3">
        <v>5</v>
      </c>
      <c r="N46" s="5">
        <v>0</v>
      </c>
      <c r="P46" s="8">
        <f t="shared" si="12"/>
        <v>615.20000000000005</v>
      </c>
      <c r="Q46" s="10">
        <f t="shared" si="2"/>
        <v>0.47432878002826184</v>
      </c>
      <c r="R46" s="8">
        <f t="shared" si="13"/>
        <v>141</v>
      </c>
      <c r="S46" s="10">
        <f t="shared" si="3"/>
        <v>0.52475247524752477</v>
      </c>
      <c r="V46" s="18">
        <f t="shared" si="14"/>
        <v>0.6302402260951484</v>
      </c>
      <c r="W46" s="18">
        <f t="shared" si="15"/>
        <v>0.58415841584158412</v>
      </c>
      <c r="Y46" s="18">
        <f>($AF$2-$AA$2)*($AF$3-W46)-($AF$2-V46)*($AF$3-$AA$3)</f>
        <v>-0.21439864193673253</v>
      </c>
      <c r="Z46" s="29" t="s">
        <v>50</v>
      </c>
      <c r="AA46" s="34">
        <f>(ABS(($AF$2-$AA$2)*($AF$3-W46)-($AF$2-V46)*($AF$3-$AA$3)))/SQRT((AF$2-AA$2)^2+($AF$3-$AA$3)^2)</f>
        <v>0.15160273359065007</v>
      </c>
      <c r="AB46" s="36">
        <f t="shared" si="16"/>
        <v>0.15160273359065007</v>
      </c>
    </row>
    <row r="47" spans="1:35">
      <c r="A47" s="6"/>
      <c r="B47" s="5">
        <v>42</v>
      </c>
      <c r="C47" s="6"/>
      <c r="D47" s="5">
        <v>1</v>
      </c>
      <c r="E47" s="5">
        <v>0</v>
      </c>
      <c r="F47" s="5">
        <v>0</v>
      </c>
      <c r="G47" s="5">
        <v>0</v>
      </c>
      <c r="H47" s="5">
        <v>2</v>
      </c>
      <c r="I47" s="5">
        <v>0</v>
      </c>
      <c r="J47" s="3">
        <v>7</v>
      </c>
      <c r="K47" s="5">
        <v>4</v>
      </c>
      <c r="L47" s="3">
        <v>5</v>
      </c>
      <c r="M47" s="3">
        <v>4</v>
      </c>
      <c r="N47" s="5">
        <v>0</v>
      </c>
      <c r="P47" s="8">
        <f t="shared" si="12"/>
        <v>527.6</v>
      </c>
      <c r="Q47" s="10">
        <f t="shared" si="2"/>
        <v>0.57748469147432879</v>
      </c>
      <c r="R47" s="8">
        <f t="shared" si="13"/>
        <v>99</v>
      </c>
      <c r="S47" s="10">
        <f t="shared" si="3"/>
        <v>0.38613861386138615</v>
      </c>
      <c r="V47" s="18">
        <f t="shared" si="14"/>
        <v>0.58878944889307583</v>
      </c>
      <c r="W47" s="18">
        <f t="shared" si="15"/>
        <v>0.5181518151815182</v>
      </c>
      <c r="Y47" s="18">
        <f>($AF$2-$AA$2)*($AF$3-W47)-($AF$2-V47)*($AF$3-$AA$3)</f>
        <v>-0.10694126407459403</v>
      </c>
      <c r="Z47" s="29" t="s">
        <v>50</v>
      </c>
      <c r="AA47" s="34">
        <f>(ABS(($AF$2-$AA$2)*($AF$3-W47)-($AF$2-V47)*($AF$3-$AA$3)))/SQRT((AF$2-AA$2)^2+($AF$3-$AA$3)^2)</f>
        <v>7.5618893015806751E-2</v>
      </c>
      <c r="AB47" s="36">
        <f t="shared" si="16"/>
        <v>7.5618893015806751E-2</v>
      </c>
    </row>
    <row r="48" spans="1:35">
      <c r="A48" s="6"/>
      <c r="B48" s="5">
        <v>43</v>
      </c>
      <c r="C48" s="6"/>
      <c r="D48" s="5">
        <v>1</v>
      </c>
      <c r="E48" s="5">
        <v>0</v>
      </c>
      <c r="F48" s="5">
        <v>1</v>
      </c>
      <c r="G48" s="5">
        <v>0</v>
      </c>
      <c r="H48" s="5">
        <v>4</v>
      </c>
      <c r="I48" s="5">
        <v>1</v>
      </c>
      <c r="J48" s="3">
        <v>6</v>
      </c>
      <c r="K48" s="5">
        <v>7</v>
      </c>
      <c r="L48" s="3">
        <v>8</v>
      </c>
      <c r="M48" s="3">
        <v>7</v>
      </c>
      <c r="N48" s="5">
        <v>0</v>
      </c>
      <c r="P48" s="8">
        <f t="shared" si="12"/>
        <v>740.2</v>
      </c>
      <c r="Q48" s="10">
        <f t="shared" si="2"/>
        <v>0.32713141780499289</v>
      </c>
      <c r="R48" s="8">
        <f t="shared" si="13"/>
        <v>157</v>
      </c>
      <c r="S48" s="10">
        <f t="shared" si="3"/>
        <v>0.57755775577557755</v>
      </c>
      <c r="V48" s="18">
        <f t="shared" si="14"/>
        <v>0.67451719265190779</v>
      </c>
      <c r="W48" s="18">
        <f t="shared" si="15"/>
        <v>0.62376237623762376</v>
      </c>
      <c r="Y48" s="18">
        <f>($AF$2-$AA$2)*($AF$3-W48)-($AF$2-V48)*($AF$3-$AA$3)</f>
        <v>-0.29827956888953155</v>
      </c>
      <c r="Z48" s="29" t="s">
        <v>50</v>
      </c>
      <c r="AA48" s="34">
        <f>(ABS(($AF$2-$AA$2)*($AF$3-W48)-($AF$2-V48)*($AF$3-$AA$3)))/SQRT((AF$2-AA$2)^2+($AF$3-$AA$3)^2)</f>
        <v>0.21091550585118771</v>
      </c>
      <c r="AB48" s="36">
        <f t="shared" si="16"/>
        <v>0.21091550585118771</v>
      </c>
    </row>
    <row r="49" spans="1:28">
      <c r="A49" s="6"/>
      <c r="B49" s="5">
        <v>44</v>
      </c>
      <c r="C49" s="6"/>
      <c r="D49" s="5">
        <v>1</v>
      </c>
      <c r="E49" s="5">
        <v>0</v>
      </c>
      <c r="F49" s="5">
        <v>1</v>
      </c>
      <c r="G49" s="5">
        <v>0</v>
      </c>
      <c r="H49" s="5">
        <v>6</v>
      </c>
      <c r="I49" s="5">
        <v>0</v>
      </c>
      <c r="J49" s="3">
        <v>7</v>
      </c>
      <c r="K49" s="5">
        <v>7</v>
      </c>
      <c r="L49" s="3">
        <v>8</v>
      </c>
      <c r="M49" s="3">
        <v>3</v>
      </c>
      <c r="N49" s="5">
        <v>0</v>
      </c>
      <c r="P49" s="8">
        <f t="shared" si="12"/>
        <v>827.8</v>
      </c>
      <c r="Q49" s="10">
        <f t="shared" si="2"/>
        <v>0.22397550635892605</v>
      </c>
      <c r="R49" s="8">
        <f t="shared" si="13"/>
        <v>25</v>
      </c>
      <c r="S49" s="10">
        <f t="shared" si="3"/>
        <v>0.14191419141914191</v>
      </c>
      <c r="V49" s="18">
        <f t="shared" si="14"/>
        <v>0.54168629298162974</v>
      </c>
      <c r="W49" s="18">
        <f t="shared" si="15"/>
        <v>0.37293729372937295</v>
      </c>
      <c r="Y49" s="18">
        <f>($AF$2-$AA$2)*($AF$3-W49)-($AF$2-V49)*($AF$3-$AA$3)</f>
        <v>8.537641328899731E-2</v>
      </c>
      <c r="Z49" s="29" t="s">
        <v>50</v>
      </c>
      <c r="AA49" s="34">
        <f>(ABS(($AF$2-$AA$2)*($AF$3-W49)-($AF$2-V49)*($AF$3-$AA$3)))/SQRT((AF$2-AA$2)^2+($AF$3-$AA$3)^2)</f>
        <v>6.0370240790035265E-2</v>
      </c>
      <c r="AB49" s="36">
        <f t="shared" si="16"/>
        <v>-6.0370240790035265E-2</v>
      </c>
    </row>
    <row r="50" spans="1:28">
      <c r="A50" s="6"/>
      <c r="B50" s="5">
        <v>45</v>
      </c>
      <c r="C50" s="6"/>
      <c r="D50" s="5">
        <v>1</v>
      </c>
      <c r="E50" s="5">
        <v>0</v>
      </c>
      <c r="F50" s="5">
        <v>0</v>
      </c>
      <c r="G50" s="5">
        <v>0</v>
      </c>
      <c r="H50" s="5">
        <v>6</v>
      </c>
      <c r="I50" s="5">
        <v>0</v>
      </c>
      <c r="J50" s="3">
        <v>4</v>
      </c>
      <c r="K50" s="5">
        <v>2</v>
      </c>
      <c r="L50" s="3">
        <v>5</v>
      </c>
      <c r="M50" s="3">
        <v>3</v>
      </c>
      <c r="N50" s="5">
        <v>0</v>
      </c>
      <c r="P50" s="8">
        <f t="shared" si="12"/>
        <v>462.8</v>
      </c>
      <c r="Q50" s="10">
        <f t="shared" si="2"/>
        <v>0.65379180405087145</v>
      </c>
      <c r="R50" s="8">
        <f t="shared" si="13"/>
        <v>151</v>
      </c>
      <c r="S50" s="10">
        <f t="shared" si="3"/>
        <v>0.55775577557755773</v>
      </c>
      <c r="V50" s="18">
        <f>Q58</f>
        <v>0.12105511069241637</v>
      </c>
      <c r="W50" s="18">
        <f>S58</f>
        <v>0.12211221122112212</v>
      </c>
      <c r="Y50" s="18">
        <f>($AF$2-$AA$2)*($AF$3-W50)-($AF$2-V50)*($AF$3-$AA$3)</f>
        <v>0.75683267808646149</v>
      </c>
      <c r="Z50" s="29" t="s">
        <v>50</v>
      </c>
      <c r="AA50" s="34">
        <f>(ABS(($AF$2-$AA$2)*($AF$3-W50)-($AF$2-V50)*($AF$3-$AA$3)))/SQRT((AF$2-AA$2)^2+($AF$3-$AA$3)^2)</f>
        <v>0.53516151889851227</v>
      </c>
      <c r="AB50" s="36">
        <f t="shared" si="16"/>
        <v>-0.53516151889851227</v>
      </c>
    </row>
    <row r="51" spans="1:28">
      <c r="A51" s="6"/>
      <c r="B51" s="5">
        <v>46</v>
      </c>
      <c r="C51" s="6"/>
      <c r="D51" s="5">
        <v>1</v>
      </c>
      <c r="E51" s="5">
        <v>0</v>
      </c>
      <c r="F51" s="5">
        <v>0</v>
      </c>
      <c r="G51" s="5">
        <v>0</v>
      </c>
      <c r="H51" s="5">
        <v>6</v>
      </c>
      <c r="I51" s="5">
        <v>0</v>
      </c>
      <c r="J51" s="3">
        <v>5</v>
      </c>
      <c r="K51" s="5">
        <v>2</v>
      </c>
      <c r="L51" s="3">
        <v>5</v>
      </c>
      <c r="M51" s="3">
        <v>4</v>
      </c>
      <c r="N51" s="5">
        <v>0</v>
      </c>
      <c r="P51" s="8">
        <f t="shared" si="12"/>
        <v>482.8</v>
      </c>
      <c r="Q51" s="10">
        <f t="shared" si="2"/>
        <v>0.6302402260951484</v>
      </c>
      <c r="R51" s="8">
        <f t="shared" si="13"/>
        <v>159</v>
      </c>
      <c r="S51" s="10">
        <f t="shared" si="3"/>
        <v>0.58415841584158412</v>
      </c>
      <c r="V51" s="18">
        <f>Q34</f>
        <v>0.47103155911446071</v>
      </c>
      <c r="W51" s="18">
        <f>S34</f>
        <v>0.58415841584158412</v>
      </c>
      <c r="Y51" s="18">
        <f>($AF$2-$AA$2)*($AF$3-W51)-($AF$2-V51)*($AF$3-$AA$3)</f>
        <v>-5.5189974956044829E-2</v>
      </c>
      <c r="Z51" s="29" t="s">
        <v>50</v>
      </c>
      <c r="AA51" s="34">
        <f>(ABS(($AF$2-$AA$2)*($AF$3-W51)-($AF$2-V51)*($AF$3-$AA$3)))/SQRT((AF$2-AA$2)^2+($AF$3-$AA$3)^2)</f>
        <v>3.9025205544935028E-2</v>
      </c>
      <c r="AB51" s="36">
        <f t="shared" si="16"/>
        <v>3.9025205544935028E-2</v>
      </c>
    </row>
    <row r="52" spans="1:28">
      <c r="A52" s="6"/>
      <c r="B52" s="5">
        <v>47</v>
      </c>
      <c r="C52" s="6"/>
      <c r="D52" s="5">
        <v>1</v>
      </c>
      <c r="E52" s="5">
        <v>0</v>
      </c>
      <c r="F52" s="5">
        <v>0</v>
      </c>
      <c r="G52" s="5">
        <v>0</v>
      </c>
      <c r="H52" s="5">
        <v>10</v>
      </c>
      <c r="I52" s="5">
        <v>0</v>
      </c>
      <c r="J52" s="3">
        <v>5</v>
      </c>
      <c r="K52" s="5">
        <v>2</v>
      </c>
      <c r="L52" s="3">
        <v>5</v>
      </c>
      <c r="M52" s="3">
        <v>3</v>
      </c>
      <c r="N52" s="5">
        <v>0</v>
      </c>
      <c r="P52" s="8">
        <f t="shared" si="12"/>
        <v>518</v>
      </c>
      <c r="Q52" s="10">
        <f t="shared" si="2"/>
        <v>0.58878944889307583</v>
      </c>
      <c r="R52" s="8">
        <f t="shared" si="13"/>
        <v>139</v>
      </c>
      <c r="S52" s="10">
        <f t="shared" si="3"/>
        <v>0.5181518151815182</v>
      </c>
      <c r="V52" s="18">
        <f>Q10</f>
        <v>0.49175694771549705</v>
      </c>
      <c r="W52" s="18">
        <f>S10</f>
        <v>0.65016501650165015</v>
      </c>
      <c r="Y52" s="18">
        <f>($AF$2-$AA$2)*($AF$3-W52)-($AF$2-V52)*($AF$3-$AA$3)</f>
        <v>-0.1419219642171472</v>
      </c>
      <c r="Z52" s="29" t="s">
        <v>50</v>
      </c>
      <c r="AA52" s="34">
        <f>(ABS(($AF$2-$AA$2)*($AF$3-W52)-($AF$2-V52)*($AF$3-$AA$3)))/SQRT((AF$2-AA$2)^2+($AF$3-$AA$3)^2)</f>
        <v>0.10035398329725932</v>
      </c>
      <c r="AB52" s="36">
        <f t="shared" si="16"/>
        <v>0.10035398329725932</v>
      </c>
    </row>
    <row r="53" spans="1:28">
      <c r="A53" s="6"/>
      <c r="B53" s="5">
        <v>48</v>
      </c>
      <c r="C53" s="6"/>
      <c r="D53" s="5">
        <v>1</v>
      </c>
      <c r="E53" s="5">
        <v>0</v>
      </c>
      <c r="F53" s="5">
        <v>0</v>
      </c>
      <c r="G53" s="5">
        <v>0</v>
      </c>
      <c r="H53" s="5">
        <v>4</v>
      </c>
      <c r="I53" s="5">
        <v>0</v>
      </c>
      <c r="J53" s="3">
        <v>4</v>
      </c>
      <c r="K53" s="5">
        <v>2</v>
      </c>
      <c r="L53" s="3">
        <v>5</v>
      </c>
      <c r="M53" s="3">
        <v>4</v>
      </c>
      <c r="N53" s="5">
        <v>0</v>
      </c>
      <c r="P53" s="8">
        <f t="shared" si="12"/>
        <v>445.2</v>
      </c>
      <c r="Q53" s="10">
        <f t="shared" si="2"/>
        <v>0.67451719265190779</v>
      </c>
      <c r="R53" s="8">
        <f t="shared" si="13"/>
        <v>171</v>
      </c>
      <c r="S53" s="10">
        <f t="shared" si="3"/>
        <v>0.62376237623762376</v>
      </c>
    </row>
    <row r="54" spans="1:28">
      <c r="A54" s="6"/>
      <c r="B54" s="5">
        <v>49</v>
      </c>
      <c r="C54" s="6"/>
      <c r="D54" s="5">
        <v>1</v>
      </c>
      <c r="E54" s="5">
        <v>0</v>
      </c>
      <c r="F54" s="5">
        <v>0</v>
      </c>
      <c r="G54" s="5">
        <v>0</v>
      </c>
      <c r="H54" s="5">
        <v>10</v>
      </c>
      <c r="I54" s="5">
        <v>0</v>
      </c>
      <c r="J54" s="3">
        <v>7</v>
      </c>
      <c r="K54" s="5">
        <v>2</v>
      </c>
      <c r="L54" s="3">
        <v>5</v>
      </c>
      <c r="M54" s="3">
        <v>2</v>
      </c>
      <c r="N54" s="5">
        <v>0</v>
      </c>
      <c r="P54" s="8">
        <f t="shared" si="12"/>
        <v>558</v>
      </c>
      <c r="Q54" s="10">
        <f t="shared" si="2"/>
        <v>0.54168629298162974</v>
      </c>
      <c r="R54" s="8">
        <f t="shared" si="13"/>
        <v>95</v>
      </c>
      <c r="S54" s="10">
        <f t="shared" si="3"/>
        <v>0.37293729372937295</v>
      </c>
      <c r="V54" s="18">
        <f>Q20</f>
        <v>0.95572303344324072</v>
      </c>
      <c r="W54" s="18">
        <f>S20</f>
        <v>0.54125412541254125</v>
      </c>
      <c r="Y54" s="18">
        <f>($AF$2-$AA$2)*($AF$3-W54)-($AF$2-V54)*($AF$3-$AA$3)</f>
        <v>-0.49697715885578198</v>
      </c>
      <c r="Z54" s="29" t="s">
        <v>50</v>
      </c>
      <c r="AA54" s="34">
        <f>(ABS(($AF$2-$AA$2)*($AF$3-W54)-($AF$2-V54)*($AF$3-$AA$3)))/SQRT((AF$2-AA$2)^2+($AF$3-$AA$3)^2)</f>
        <v>0.35141591912174747</v>
      </c>
      <c r="AB54" s="36">
        <f t="shared" ref="AB54:AB64" si="17">IF(Y54&gt;0,-AA54,AA54)</f>
        <v>0.35141591912174747</v>
      </c>
    </row>
    <row r="55" spans="1:28">
      <c r="A55" s="6"/>
      <c r="B55" s="5">
        <v>50</v>
      </c>
      <c r="C55" s="6"/>
      <c r="D55" s="5">
        <v>1</v>
      </c>
      <c r="E55" s="5">
        <v>0</v>
      </c>
      <c r="F55" s="5">
        <v>0</v>
      </c>
      <c r="G55" s="5">
        <v>0</v>
      </c>
      <c r="H55" s="5">
        <v>10</v>
      </c>
      <c r="I55" s="5">
        <v>0</v>
      </c>
      <c r="J55" s="3">
        <v>8</v>
      </c>
      <c r="K55" s="5">
        <v>5</v>
      </c>
      <c r="L55" s="3">
        <v>7</v>
      </c>
      <c r="M55" s="3">
        <v>6</v>
      </c>
      <c r="N55" s="5">
        <v>1</v>
      </c>
      <c r="P55" s="8">
        <f t="shared" si="12"/>
        <v>748</v>
      </c>
      <c r="Q55" s="10">
        <f t="shared" si="2"/>
        <v>0.31794630240226096</v>
      </c>
      <c r="R55" s="8">
        <f t="shared" si="13"/>
        <v>159</v>
      </c>
      <c r="S55" s="10">
        <f t="shared" si="3"/>
        <v>0.58415841584158412</v>
      </c>
      <c r="V55" s="18">
        <f>Q24</f>
        <v>0.54945831370701836</v>
      </c>
      <c r="W55" s="18">
        <f>S24</f>
        <v>0.84158415841584155</v>
      </c>
      <c r="Y55" s="18">
        <f>($AF$2-$AA$2)*($AF$3-W55)-($AF$2-V55)*($AF$3-$AA$3)</f>
        <v>-0.39104247212285992</v>
      </c>
      <c r="Z55" s="29" t="s">
        <v>50</v>
      </c>
      <c r="AA55" s="34">
        <f>(ABS(($AF$2-$AA$2)*($AF$3-W55)-($AF$2-V55)*($AF$3-$AA$3)))/SQRT((AF$2-AA$2)^2+($AF$3-$AA$3)^2)</f>
        <v>0.27650878377002569</v>
      </c>
      <c r="AB55" s="36">
        <f t="shared" si="17"/>
        <v>0.27650878377002569</v>
      </c>
    </row>
    <row r="56" spans="1:28">
      <c r="A56" s="6"/>
      <c r="B56" s="5">
        <v>51</v>
      </c>
      <c r="C56" s="6"/>
      <c r="D56" s="6">
        <v>0</v>
      </c>
      <c r="E56" s="5">
        <v>0</v>
      </c>
      <c r="F56" s="6">
        <v>0</v>
      </c>
      <c r="G56" s="6">
        <v>0</v>
      </c>
      <c r="H56" s="5">
        <v>1</v>
      </c>
      <c r="I56" s="6">
        <v>1</v>
      </c>
      <c r="J56" s="3">
        <v>5</v>
      </c>
      <c r="K56" s="5">
        <v>4</v>
      </c>
      <c r="L56" s="3">
        <v>4</v>
      </c>
      <c r="M56" s="3">
        <v>7</v>
      </c>
      <c r="N56" s="6">
        <v>1</v>
      </c>
      <c r="P56" s="8">
        <f t="shared" si="12"/>
        <v>348.8</v>
      </c>
      <c r="Q56" s="10">
        <f t="shared" si="2"/>
        <v>0.78803579839849269</v>
      </c>
      <c r="R56" s="8">
        <f t="shared" si="13"/>
        <v>98</v>
      </c>
      <c r="S56" s="10">
        <f t="shared" si="3"/>
        <v>0.38283828382838286</v>
      </c>
      <c r="V56" s="18">
        <f>Q31</f>
        <v>0.61234102684879899</v>
      </c>
      <c r="W56" s="18">
        <f>S31</f>
        <v>1</v>
      </c>
      <c r="Y56" s="18">
        <f>($AF$2-$AA$2)*($AF$3-W56)-($AF$2-V56)*($AF$3-$AA$3)</f>
        <v>-0.61234102684879899</v>
      </c>
      <c r="Z56" s="29" t="s">
        <v>50</v>
      </c>
      <c r="AA56" s="34">
        <f>(ABS(($AF$2-$AA$2)*($AF$3-W56)-($AF$2-V56)*($AF$3-$AA$3)))/SQRT((AF$2-AA$2)^2+($AF$3-$AA$3)^2)</f>
        <v>0.43299049248351951</v>
      </c>
      <c r="AB56" s="36">
        <f t="shared" si="17"/>
        <v>0.43299049248351951</v>
      </c>
    </row>
    <row r="57" spans="1:28">
      <c r="A57" s="6"/>
      <c r="B57" s="5">
        <v>52</v>
      </c>
      <c r="C57" s="6"/>
      <c r="D57" s="6">
        <v>0</v>
      </c>
      <c r="E57" s="5">
        <v>0</v>
      </c>
      <c r="F57" s="6">
        <v>0</v>
      </c>
      <c r="G57" s="6">
        <v>0</v>
      </c>
      <c r="H57" s="5">
        <v>4</v>
      </c>
      <c r="I57" s="6">
        <v>1</v>
      </c>
      <c r="J57" s="3">
        <v>7</v>
      </c>
      <c r="K57" s="5">
        <v>3</v>
      </c>
      <c r="L57" s="3">
        <v>4</v>
      </c>
      <c r="M57" s="3">
        <v>4</v>
      </c>
      <c r="N57" s="6">
        <v>0</v>
      </c>
      <c r="P57" s="8">
        <f t="shared" si="12"/>
        <v>385.2</v>
      </c>
      <c r="Q57" s="10">
        <f t="shared" si="2"/>
        <v>0.74517192651907682</v>
      </c>
      <c r="R57" s="8">
        <f t="shared" si="13"/>
        <v>-18</v>
      </c>
      <c r="S57" s="10">
        <f t="shared" si="3"/>
        <v>0</v>
      </c>
      <c r="V57" s="18">
        <f>Q40</f>
        <v>0.87187941592086671</v>
      </c>
      <c r="W57" s="18">
        <f>S40</f>
        <v>0.84818481848184824</v>
      </c>
      <c r="Y57" s="18">
        <f>($AF$2-$AA$2)*($AF$3-W57)-($AF$2-V57)*($AF$3-$AA$3)</f>
        <v>-0.72006423440271494</v>
      </c>
      <c r="Z57" s="29" t="s">
        <v>50</v>
      </c>
      <c r="AA57" s="34">
        <f>(ABS(($AF$2-$AA$2)*($AF$3-W57)-($AF$2-V57)*($AF$3-$AA$3)))/SQRT((AF$2-AA$2)^2+($AF$3-$AA$3)^2)</f>
        <v>0.50916230303605936</v>
      </c>
      <c r="AB57" s="36">
        <f t="shared" si="17"/>
        <v>0.50916230303605936</v>
      </c>
    </row>
    <row r="58" spans="1:28">
      <c r="A58" s="6"/>
      <c r="B58" s="5">
        <v>53</v>
      </c>
      <c r="C58" s="6"/>
      <c r="D58" s="5">
        <v>1</v>
      </c>
      <c r="E58" s="5">
        <v>0</v>
      </c>
      <c r="F58" s="5">
        <v>0</v>
      </c>
      <c r="G58" s="5">
        <v>1</v>
      </c>
      <c r="H58" s="5">
        <v>4</v>
      </c>
      <c r="I58" s="5">
        <v>0</v>
      </c>
      <c r="J58" s="3">
        <v>8</v>
      </c>
      <c r="K58" s="5">
        <v>6</v>
      </c>
      <c r="L58" s="3">
        <v>10</v>
      </c>
      <c r="M58" s="3">
        <v>3</v>
      </c>
      <c r="N58" s="5">
        <v>0</v>
      </c>
      <c r="P58" s="8">
        <f t="shared" si="12"/>
        <v>915.2</v>
      </c>
      <c r="Q58" s="10">
        <f t="shared" si="2"/>
        <v>0.12105511069241637</v>
      </c>
      <c r="R58" s="8">
        <f t="shared" si="13"/>
        <v>19</v>
      </c>
      <c r="S58" s="10">
        <f t="shared" si="3"/>
        <v>0.12211221122112212</v>
      </c>
      <c r="V58" s="18">
        <f>Q41</f>
        <v>0.67734338200659439</v>
      </c>
      <c r="W58" s="18">
        <f>S41</f>
        <v>0.38283828382838286</v>
      </c>
      <c r="Y58" s="18">
        <f>($AF$2-$AA$2)*($AF$3-W58)-($AF$2-V58)*($AF$3-$AA$3)</f>
        <v>-6.0181665834977249E-2</v>
      </c>
      <c r="Z58" s="29" t="s">
        <v>50</v>
      </c>
      <c r="AA58" s="34">
        <f>(ABS(($AF$2-$AA$2)*($AF$3-W58)-($AF$2-V58)*($AF$3-$AA$3)))/SQRT((AF$2-AA$2)^2+($AF$3-$AA$3)^2)</f>
        <v>4.2554864015015174E-2</v>
      </c>
      <c r="AB58" s="36">
        <f t="shared" si="17"/>
        <v>4.2554864015015174E-2</v>
      </c>
    </row>
    <row r="59" spans="1:28">
      <c r="A59" s="6"/>
      <c r="B59" s="5">
        <v>54</v>
      </c>
      <c r="C59" s="6"/>
      <c r="D59" s="6">
        <v>0</v>
      </c>
      <c r="E59" s="5">
        <v>0</v>
      </c>
      <c r="F59" s="6">
        <v>0</v>
      </c>
      <c r="G59" s="6">
        <v>0</v>
      </c>
      <c r="H59" s="5">
        <v>1</v>
      </c>
      <c r="I59" s="6">
        <v>1</v>
      </c>
      <c r="J59" s="3">
        <v>6</v>
      </c>
      <c r="K59" s="5">
        <v>3</v>
      </c>
      <c r="L59" s="3">
        <v>3</v>
      </c>
      <c r="M59" s="3">
        <v>6</v>
      </c>
      <c r="N59" s="6">
        <v>1</v>
      </c>
      <c r="P59" s="8">
        <f t="shared" si="12"/>
        <v>298.8</v>
      </c>
      <c r="Q59" s="10">
        <f t="shared" si="2"/>
        <v>0.84691474328780025</v>
      </c>
      <c r="R59" s="8">
        <f t="shared" si="13"/>
        <v>84</v>
      </c>
      <c r="S59" s="10">
        <f t="shared" si="3"/>
        <v>0.33663366336633666</v>
      </c>
      <c r="V59" s="18">
        <f>Q43</f>
        <v>0.79227508243052291</v>
      </c>
      <c r="W59" s="18">
        <f>S43</f>
        <v>0.36963696369636961</v>
      </c>
      <c r="Y59" s="18">
        <f>($AF$2-$AA$2)*($AF$3-W59)-($AF$2-V59)*($AF$3-$AA$3)</f>
        <v>-0.16191204612689253</v>
      </c>
      <c r="Z59" s="29" t="s">
        <v>50</v>
      </c>
      <c r="AA59" s="34">
        <f>(ABS(($AF$2-$AA$2)*($AF$3-W59)-($AF$2-V59)*($AF$3-$AA$3)))/SQRT((AF$2-AA$2)^2+($AF$3-$AA$3)^2)</f>
        <v>0.11448910577211478</v>
      </c>
      <c r="AB59" s="36">
        <f t="shared" si="17"/>
        <v>0.11448910577211478</v>
      </c>
    </row>
    <row r="60" spans="1:28">
      <c r="A60" s="6"/>
      <c r="B60" s="5">
        <v>55</v>
      </c>
      <c r="C60" s="6"/>
      <c r="D60" s="6">
        <v>0</v>
      </c>
      <c r="E60" s="5">
        <v>0</v>
      </c>
      <c r="F60" s="6">
        <v>0</v>
      </c>
      <c r="G60" s="6">
        <v>0</v>
      </c>
      <c r="H60" s="5">
        <v>10</v>
      </c>
      <c r="I60" s="6">
        <v>1</v>
      </c>
      <c r="J60" s="3">
        <v>4</v>
      </c>
      <c r="K60" s="5">
        <v>3</v>
      </c>
      <c r="L60" s="3">
        <v>4</v>
      </c>
      <c r="M60" s="3">
        <v>5</v>
      </c>
      <c r="N60" s="6">
        <v>1</v>
      </c>
      <c r="P60" s="8">
        <f t="shared" si="12"/>
        <v>388</v>
      </c>
      <c r="Q60" s="10">
        <f t="shared" si="2"/>
        <v>0.74187470560527558</v>
      </c>
      <c r="R60" s="8">
        <f t="shared" si="13"/>
        <v>88</v>
      </c>
      <c r="S60" s="10">
        <f t="shared" si="3"/>
        <v>0.34983498349834985</v>
      </c>
      <c r="V60" s="18">
        <f>Q56</f>
        <v>0.78803579839849269</v>
      </c>
      <c r="W60" s="18">
        <f>S56</f>
        <v>0.38283828382838286</v>
      </c>
      <c r="Y60" s="18">
        <f>($AF$2-$AA$2)*($AF$3-W60)-($AF$2-V60)*($AF$3-$AA$3)</f>
        <v>-0.17087408222687556</v>
      </c>
      <c r="Z60" s="29" t="s">
        <v>50</v>
      </c>
      <c r="AA60" s="34">
        <f>(ABS(($AF$2-$AA$2)*($AF$3-W60)-($AF$2-V60)*($AF$3-$AA$3)))/SQRT((AF$2-AA$2)^2+($AF$3-$AA$3)^2)</f>
        <v>0.12082622227165142</v>
      </c>
      <c r="AB60" s="36">
        <f t="shared" si="17"/>
        <v>0.12082622227165142</v>
      </c>
    </row>
    <row r="61" spans="1:28">
      <c r="A61" s="6"/>
      <c r="B61" s="5">
        <v>56</v>
      </c>
      <c r="C61" s="6"/>
      <c r="D61" s="6">
        <v>0</v>
      </c>
      <c r="E61" s="5">
        <v>0</v>
      </c>
      <c r="F61" s="6">
        <v>0</v>
      </c>
      <c r="G61" s="6">
        <v>0</v>
      </c>
      <c r="H61" s="5">
        <v>2</v>
      </c>
      <c r="I61" s="6">
        <v>1</v>
      </c>
      <c r="J61" s="3">
        <v>3</v>
      </c>
      <c r="K61" s="5">
        <v>2</v>
      </c>
      <c r="L61" s="3">
        <v>2</v>
      </c>
      <c r="M61" s="3">
        <v>7</v>
      </c>
      <c r="N61" s="6">
        <v>1</v>
      </c>
      <c r="P61" s="8">
        <f t="shared" si="12"/>
        <v>177.6</v>
      </c>
      <c r="Q61" s="10">
        <f t="shared" si="2"/>
        <v>0.98963730569948194</v>
      </c>
      <c r="R61" s="8">
        <f t="shared" si="13"/>
        <v>158</v>
      </c>
      <c r="S61" s="10">
        <f t="shared" si="3"/>
        <v>0.58085808580858089</v>
      </c>
      <c r="V61" s="18">
        <f>Q59</f>
        <v>0.84691474328780025</v>
      </c>
      <c r="W61" s="18">
        <f>S59</f>
        <v>0.33663366336633666</v>
      </c>
      <c r="Y61" s="18">
        <f>($AF$2-$AA$2)*($AF$3-W61)-($AF$2-V61)*($AF$3-$AA$3)</f>
        <v>-0.18354840665413691</v>
      </c>
      <c r="Z61" s="29" t="s">
        <v>50</v>
      </c>
      <c r="AA61" s="34">
        <f>(ABS(($AF$2-$AA$2)*($AF$3-W61)-($AF$2-V61)*($AF$3-$AA$3)))/SQRT((AF$2-AA$2)^2+($AF$3-$AA$3)^2)</f>
        <v>0.12978832302112622</v>
      </c>
      <c r="AB61" s="36">
        <f t="shared" si="17"/>
        <v>0.12978832302112622</v>
      </c>
    </row>
    <row r="62" spans="1:28">
      <c r="A62" s="6"/>
      <c r="B62" s="5">
        <v>57</v>
      </c>
      <c r="C62" s="6"/>
      <c r="D62" s="6">
        <v>0</v>
      </c>
      <c r="E62" s="5">
        <v>0</v>
      </c>
      <c r="F62" s="6">
        <v>0</v>
      </c>
      <c r="G62" s="6">
        <v>0</v>
      </c>
      <c r="H62" s="5">
        <v>1</v>
      </c>
      <c r="I62" s="6">
        <v>1</v>
      </c>
      <c r="J62" s="3">
        <v>5</v>
      </c>
      <c r="K62" s="5">
        <v>2</v>
      </c>
      <c r="L62" s="3">
        <v>3</v>
      </c>
      <c r="M62" s="3">
        <v>7</v>
      </c>
      <c r="N62" s="6">
        <v>1</v>
      </c>
      <c r="P62" s="8">
        <f t="shared" si="12"/>
        <v>258.8</v>
      </c>
      <c r="Q62" s="10">
        <f t="shared" si="2"/>
        <v>0.89401789919924635</v>
      </c>
      <c r="R62" s="8">
        <f t="shared" si="13"/>
        <v>134</v>
      </c>
      <c r="S62" s="10">
        <f t="shared" si="3"/>
        <v>0.50165016501650161</v>
      </c>
      <c r="V62" s="18">
        <f>Q61</f>
        <v>0.98963730569948194</v>
      </c>
      <c r="W62" s="18">
        <f>S61</f>
        <v>0.58085808580858089</v>
      </c>
      <c r="Y62" s="18">
        <f>($AF$2-$AA$2)*($AF$3-W62)-($AF$2-V62)*($AF$3-$AA$3)</f>
        <v>-0.57049539150806283</v>
      </c>
      <c r="Z62" s="29" t="s">
        <v>50</v>
      </c>
      <c r="AA62" s="34">
        <f>(ABS(($AF$2-$AA$2)*($AF$3-W62)-($AF$2-V62)*($AF$3-$AA$3)))/SQRT((AF$2-AA$2)^2+($AF$3-$AA$3)^2)</f>
        <v>0.40340115997102555</v>
      </c>
      <c r="AB62" s="36">
        <f t="shared" si="17"/>
        <v>0.40340115997102555</v>
      </c>
    </row>
    <row r="63" spans="1:28">
      <c r="A63" s="6"/>
      <c r="B63" s="5">
        <v>58</v>
      </c>
      <c r="C63" s="6"/>
      <c r="D63" s="5">
        <v>1</v>
      </c>
      <c r="E63" s="5">
        <v>1</v>
      </c>
      <c r="F63" s="5">
        <v>0</v>
      </c>
      <c r="G63" s="5">
        <v>0</v>
      </c>
      <c r="H63" s="5">
        <v>2</v>
      </c>
      <c r="I63" s="5">
        <v>0</v>
      </c>
      <c r="J63" s="3">
        <v>4</v>
      </c>
      <c r="K63" s="5">
        <v>7</v>
      </c>
      <c r="L63" s="3">
        <v>1</v>
      </c>
      <c r="M63" s="3">
        <v>4</v>
      </c>
      <c r="N63" s="5">
        <v>0</v>
      </c>
      <c r="P63" s="8">
        <f t="shared" si="12"/>
        <v>367.6</v>
      </c>
      <c r="Q63" s="10">
        <f t="shared" si="2"/>
        <v>0.76589731512011305</v>
      </c>
      <c r="R63" s="8">
        <f t="shared" si="13"/>
        <v>91</v>
      </c>
      <c r="S63" s="10">
        <f t="shared" si="3"/>
        <v>0.35973597359735976</v>
      </c>
      <c r="V63" s="18">
        <f>Q62</f>
        <v>0.89401789919924635</v>
      </c>
      <c r="W63" s="18">
        <f>S62</f>
        <v>0.50165016501650161</v>
      </c>
      <c r="Y63" s="18">
        <f>($AF$2-$AA$2)*($AF$3-W63)-($AF$2-V63)*($AF$3-$AA$3)</f>
        <v>-0.39566806421574796</v>
      </c>
      <c r="Z63" s="29" t="s">
        <v>50</v>
      </c>
      <c r="AA63" s="34">
        <f>(ABS(($AF$2-$AA$2)*($AF$3-W63)-($AF$2-V63)*($AF$3-$AA$3)))/SQRT((AF$2-AA$2)^2+($AF$3-$AA$3)^2)</f>
        <v>0.27977957130590969</v>
      </c>
      <c r="AB63" s="36">
        <f t="shared" si="17"/>
        <v>0.27977957130590969</v>
      </c>
    </row>
    <row r="64" spans="1:28">
      <c r="A64" s="6"/>
      <c r="B64" s="6"/>
      <c r="C64" s="6"/>
      <c r="D64" s="4" t="s">
        <v>0</v>
      </c>
      <c r="E64" s="4" t="s">
        <v>1</v>
      </c>
      <c r="F64" s="4" t="s">
        <v>2</v>
      </c>
      <c r="G64" s="4" t="s">
        <v>3</v>
      </c>
      <c r="H64" s="4" t="s">
        <v>4</v>
      </c>
      <c r="I64" s="4" t="s">
        <v>5</v>
      </c>
      <c r="J64" s="4" t="s">
        <v>6</v>
      </c>
      <c r="K64" s="4" t="s">
        <v>7</v>
      </c>
      <c r="L64" s="4" t="s">
        <v>8</v>
      </c>
      <c r="M64" s="4" t="s">
        <v>9</v>
      </c>
      <c r="N64" s="4" t="s">
        <v>10</v>
      </c>
      <c r="V64" s="18">
        <f>Q21</f>
        <v>0.96467263306641549</v>
      </c>
      <c r="W64" s="18">
        <f>S21</f>
        <v>0.56105610561056107</v>
      </c>
      <c r="Y64" s="18">
        <f>($AF$2-$AA$2)*($AF$3-W64)-($AF$2-V64)*($AF$3-$AA$3)</f>
        <v>-0.52572873867697656</v>
      </c>
      <c r="Z64" s="29" t="s">
        <v>50</v>
      </c>
      <c r="AA64" s="34">
        <f>(ABS(($AF$2-$AA$2)*($AF$3-W64)-($AF$2-V64)*($AF$3-$AA$3)))/SQRT((AF$2-AA$2)^2+($AF$3-$AA$3)^2)</f>
        <v>0.37174635618314045</v>
      </c>
      <c r="AB64" s="36">
        <f t="shared" si="17"/>
        <v>0.37174635618314045</v>
      </c>
    </row>
    <row r="65" spans="4:28">
      <c r="D65" s="8">
        <f>'INPUT AND RESULTS'!C10</f>
        <v>1</v>
      </c>
      <c r="E65" s="8">
        <f>'INPUT AND RESULTS'!C12</f>
        <v>0</v>
      </c>
      <c r="F65" s="8">
        <f>'INPUT AND RESULTS'!C14</f>
        <v>1</v>
      </c>
      <c r="G65" s="8">
        <f>'INPUT AND RESULTS'!C17</f>
        <v>0</v>
      </c>
      <c r="H65" s="8">
        <f>'INPUT AND RESULTS'!C20</f>
        <v>2</v>
      </c>
      <c r="I65" s="8">
        <f>'INPUT AND RESULTS'!C23</f>
        <v>1</v>
      </c>
      <c r="J65" s="8">
        <f>'INPUT AND RESULTS'!C25</f>
        <v>5</v>
      </c>
      <c r="K65" s="8">
        <f>'INPUT AND RESULTS'!C27</f>
        <v>4</v>
      </c>
      <c r="L65" s="8">
        <f>'INPUT AND RESULTS'!C30</f>
        <v>3</v>
      </c>
      <c r="M65" s="8">
        <f>'INPUT AND RESULTS'!C33</f>
        <v>7</v>
      </c>
      <c r="N65" s="8">
        <f>'INPUT AND RESULTS'!C35</f>
        <v>1</v>
      </c>
      <c r="P65" s="8">
        <f>($D$4*D65+E65*$E$4+F65*$F$4+G65*$G$4+H65*$H$4+I65*$I$4+K65*$K$4+L65*$L$4+N65*$N$4+J65*$J$4)</f>
        <v>402.6</v>
      </c>
      <c r="Q65" s="10">
        <f t="shared" ref="Q65" si="18">1-(P65-$P$3)/$Q$5</f>
        <v>0.72468205369759775</v>
      </c>
      <c r="R65" s="8">
        <f>(D65*$D$2+E65*$E$2+$G$2*G65+I65*$I$2+J65*$J$2+K65*$K$2+M65*$M$2+N65*$N$2)</f>
        <v>273</v>
      </c>
      <c r="S65" s="10">
        <f t="shared" si="3"/>
        <v>0.96039603960396036</v>
      </c>
    </row>
    <row r="66" spans="4:28">
      <c r="V66" s="18">
        <f>Q15</f>
        <v>1</v>
      </c>
      <c r="W66" s="18">
        <f>S15</f>
        <v>0.21782178217821782</v>
      </c>
      <c r="Y66" s="18">
        <f>($AF$2-$AA$2)*($AF$3-W66)-($AF$2-V66)*($AF$3-$AA$3)</f>
        <v>-0.21782178217821782</v>
      </c>
      <c r="Z66" s="29" t="s">
        <v>50</v>
      </c>
      <c r="AA66" s="34">
        <f>(ABS(($AF$2-$AA$2)*($AF$3-W66)-($AF$2-V66)*($AF$3-$AA$3)))/SQRT((AF$2-AA$2)^2+($AF$3-$AA$3)^2)</f>
        <v>0.15402325926835689</v>
      </c>
      <c r="AB66" s="36">
        <f t="shared" ref="AB66" si="19">IF(Y66&gt;0,-AA66,AA66)</f>
        <v>0.15402325926835689</v>
      </c>
    </row>
    <row r="67" spans="4:28">
      <c r="AA67" s="18"/>
    </row>
    <row r="68" spans="4:28">
      <c r="V68" s="18">
        <f>Q65</f>
        <v>0.72468205369759775</v>
      </c>
      <c r="W68" s="18">
        <f>S65</f>
        <v>0.96039603960396036</v>
      </c>
      <c r="Y68" s="18">
        <f>($AF$2-$AA$2)*($AF$3-W68)-($AF$2-V68)*($AF$3-$AA$3)</f>
        <v>-0.68507809330155811</v>
      </c>
      <c r="Z68" s="29" t="s">
        <v>50</v>
      </c>
      <c r="AA68" s="34">
        <f>(ABS(($AF$2-$AA$2)*($AF$3-W68)-($AF$2-V68)*($AF$3-$AA$3)))/SQRT((AF$2-AA$2)^2+($AF$3-$AA$3)^2)</f>
        <v>0.48442336541588199</v>
      </c>
      <c r="AB68" s="36">
        <f t="shared" ref="AB68" si="20">IF(Y68&gt;0,-AA68,AA68)</f>
        <v>0.48442336541588199</v>
      </c>
    </row>
    <row r="113" spans="15:27" s="2" customFormat="1">
      <c r="O113" s="13"/>
      <c r="V113" s="9"/>
      <c r="W113" s="9"/>
      <c r="X113" s="9"/>
      <c r="Y113" s="9"/>
      <c r="Z113" s="9"/>
      <c r="AA113" s="9"/>
    </row>
  </sheetData>
  <mergeCells count="2">
    <mergeCell ref="P1:Q1"/>
    <mergeCell ref="R1:S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08CAE-B4C7-4061-A72F-30D4F968C982}">
  <dimension ref="B2:U59"/>
  <sheetViews>
    <sheetView workbookViewId="0">
      <selection activeCell="AK4" sqref="AK4:AO15"/>
    </sheetView>
  </sheetViews>
  <sheetFormatPr defaultRowHeight="15"/>
  <cols>
    <col min="3" max="4" width="27.5703125" style="66" customWidth="1"/>
    <col min="17" max="17" width="34.7109375" customWidth="1"/>
    <col min="18" max="18" width="34" customWidth="1"/>
  </cols>
  <sheetData>
    <row r="2" spans="2:21">
      <c r="B2" s="63">
        <v>1</v>
      </c>
      <c r="C2" s="64" t="s">
        <v>52</v>
      </c>
      <c r="D2" s="64" t="s">
        <v>53</v>
      </c>
      <c r="F2" t="str">
        <f>C2&amp;" "&amp;D2</f>
        <v>Airbus OX</v>
      </c>
      <c r="K2" s="67"/>
    </row>
    <row r="3" spans="2:21">
      <c r="B3" s="63">
        <v>2</v>
      </c>
      <c r="C3" s="64" t="s">
        <v>52</v>
      </c>
      <c r="D3" s="64" t="s">
        <v>54</v>
      </c>
      <c r="F3" t="str">
        <f t="shared" ref="F3:F59" si="0">C3&amp;" "&amp;D3</f>
        <v>Airbus Vahana</v>
      </c>
      <c r="K3" s="68" t="s">
        <v>141</v>
      </c>
      <c r="Q3" s="1"/>
      <c r="R3" s="1"/>
      <c r="S3" s="1"/>
      <c r="T3" s="1"/>
      <c r="U3" s="1"/>
    </row>
    <row r="4" spans="2:21">
      <c r="B4" s="63">
        <v>3</v>
      </c>
      <c r="C4" s="64" t="s">
        <v>55</v>
      </c>
      <c r="D4" s="65" t="s">
        <v>56</v>
      </c>
      <c r="F4" t="str">
        <f t="shared" si="0"/>
        <v>Aurora/Boeing LightningStrike X-Plane</v>
      </c>
      <c r="K4" s="67"/>
      <c r="Q4" s="1"/>
      <c r="R4" s="1"/>
      <c r="S4" s="1"/>
      <c r="T4" s="1"/>
      <c r="U4" s="1"/>
    </row>
    <row r="5" spans="2:21">
      <c r="B5" s="63">
        <v>4</v>
      </c>
      <c r="C5" s="64" t="s">
        <v>55</v>
      </c>
      <c r="D5" s="64" t="s">
        <v>57</v>
      </c>
      <c r="F5" t="str">
        <f t="shared" si="0"/>
        <v>Aurora/Boeing eVTOL</v>
      </c>
      <c r="K5" s="68" t="s">
        <v>142</v>
      </c>
      <c r="Q5" s="1" t="str">
        <f>INDEX(Sheet1!$F$2:$F$59,MATCH(CALC!AI6,Sheet1!$B$2:$B$59,0))</f>
        <v>Uber Elevate</v>
      </c>
      <c r="R5" s="1" t="str">
        <f>INDEX(Sheet1!$K$2:$K$59,MATCH(CALC!AI6,Sheet1!$B$2:$B$59,0))</f>
        <v>https://www.uber.com/info/elevate/</v>
      </c>
      <c r="S5" s="1"/>
      <c r="T5" s="1"/>
      <c r="U5" s="1"/>
    </row>
    <row r="6" spans="2:21">
      <c r="B6" s="63">
        <v>5</v>
      </c>
      <c r="C6" s="64" t="s">
        <v>58</v>
      </c>
      <c r="D6" s="64">
        <v>184</v>
      </c>
      <c r="F6" t="str">
        <f t="shared" si="0"/>
        <v>Ehang 184</v>
      </c>
      <c r="K6" s="69" t="s">
        <v>143</v>
      </c>
      <c r="Q6" s="1" t="str">
        <f>INDEX(Sheet1!$F$2:$F$59,MATCH(CALC!AI7,Sheet1!$B$2:$B$59,0))</f>
        <v>Aurora/Boeing eVTOL</v>
      </c>
      <c r="R6" s="1" t="str">
        <f>INDEX(Sheet1!$K$2:$K$59,MATCH(CALC!AI7,Sheet1!$B$2:$B$59,0))</f>
        <v>http://www.aurora.aero/</v>
      </c>
      <c r="S6" s="1"/>
      <c r="T6" s="1"/>
      <c r="U6" s="1"/>
    </row>
    <row r="7" spans="2:21">
      <c r="B7" s="63">
        <v>6</v>
      </c>
      <c r="C7" s="64" t="s">
        <v>59</v>
      </c>
      <c r="D7" s="64" t="s">
        <v>60</v>
      </c>
      <c r="F7" t="str">
        <f t="shared" si="0"/>
        <v>Lilium Eagle</v>
      </c>
      <c r="K7" s="69" t="s">
        <v>144</v>
      </c>
      <c r="Q7" s="1" t="str">
        <f>INDEX(Sheet1!$F$2:$F$59,MATCH(CALC!AI8,Sheet1!$B$2:$B$59,0))</f>
        <v xml:space="preserve">Passenger Drone </v>
      </c>
      <c r="R7" s="1" t="str">
        <f>INDEX(Sheet1!$K$2:$K$59,MATCH(CALC!AI8,Sheet1!$B$2:$B$59,0))</f>
        <v>http://passengerdrone.com/</v>
      </c>
      <c r="S7" s="1"/>
      <c r="T7" s="1"/>
      <c r="U7" s="1"/>
    </row>
    <row r="8" spans="2:21">
      <c r="B8" s="63">
        <v>7</v>
      </c>
      <c r="C8" s="64" t="s">
        <v>59</v>
      </c>
      <c r="D8" s="64" t="s">
        <v>61</v>
      </c>
      <c r="F8" t="str">
        <f t="shared" si="0"/>
        <v>Lilium Jet</v>
      </c>
      <c r="K8" s="69" t="s">
        <v>144</v>
      </c>
      <c r="Q8" s="1" t="str">
        <f>INDEX(Sheet1!$F$2:$F$59,MATCH(CALC!AI9,Sheet1!$B$2:$B$59,0))</f>
        <v xml:space="preserve">PAV-X </v>
      </c>
      <c r="R8" s="1" t="str">
        <f>INDEX(Sheet1!$K$2:$K$59,MATCH(CALC!AI9,Sheet1!$B$2:$B$59,0))</f>
        <v>http://www.pav-x.com/#</v>
      </c>
      <c r="S8" s="1"/>
      <c r="T8" s="1"/>
      <c r="U8" s="1"/>
    </row>
    <row r="9" spans="2:21">
      <c r="B9" s="63">
        <v>8</v>
      </c>
      <c r="C9" s="64" t="s">
        <v>62</v>
      </c>
      <c r="D9" s="64" t="s">
        <v>63</v>
      </c>
      <c r="F9" t="str">
        <f t="shared" si="0"/>
        <v>Uber Elevate</v>
      </c>
      <c r="K9" s="68" t="s">
        <v>145</v>
      </c>
      <c r="Q9" s="1" t="str">
        <f>INDEX(Sheet1!$F$2:$F$59,MATCH(CALC!AI10,Sheet1!$B$2:$B$59,0))</f>
        <v>AirspaceX Mobi-One</v>
      </c>
      <c r="R9" s="1" t="str">
        <f>INDEX(Sheet1!$K$2:$K$59,MATCH(CALC!AI10,Sheet1!$B$2:$B$59,0))</f>
        <v>http://airspacex.com/</v>
      </c>
      <c r="S9" s="1"/>
      <c r="T9" s="1"/>
      <c r="U9" s="1"/>
    </row>
    <row r="10" spans="2:21">
      <c r="B10" s="63">
        <v>9</v>
      </c>
      <c r="C10" s="64" t="s">
        <v>64</v>
      </c>
      <c r="D10" s="64"/>
      <c r="F10" t="str">
        <f t="shared" si="0"/>
        <v xml:space="preserve">Volocopter </v>
      </c>
      <c r="K10" s="68" t="s">
        <v>146</v>
      </c>
      <c r="Q10" s="1"/>
      <c r="R10" s="1"/>
      <c r="S10" s="1"/>
      <c r="T10" s="1"/>
      <c r="U10" s="1"/>
    </row>
    <row r="11" spans="2:21">
      <c r="B11" s="63">
        <v>10</v>
      </c>
      <c r="C11" s="64" t="s">
        <v>65</v>
      </c>
      <c r="D11" s="64" t="s">
        <v>66</v>
      </c>
      <c r="F11" t="str">
        <f t="shared" si="0"/>
        <v>Terrafugia Transition</v>
      </c>
      <c r="K11" s="68" t="s">
        <v>147</v>
      </c>
      <c r="Q11" s="1"/>
      <c r="R11" s="1"/>
      <c r="S11" s="1"/>
      <c r="T11" s="1"/>
      <c r="U11" s="1"/>
    </row>
    <row r="12" spans="2:21">
      <c r="B12" s="63">
        <v>11</v>
      </c>
      <c r="C12" s="64" t="s">
        <v>65</v>
      </c>
      <c r="D12" s="64" t="s">
        <v>67</v>
      </c>
      <c r="F12" t="str">
        <f t="shared" si="0"/>
        <v>Terrafugia TF-X</v>
      </c>
      <c r="K12" s="68" t="s">
        <v>148</v>
      </c>
      <c r="Q12" s="1"/>
      <c r="R12" s="1"/>
      <c r="S12" s="1"/>
      <c r="T12" s="1"/>
      <c r="U12" s="1"/>
    </row>
    <row r="13" spans="2:21">
      <c r="B13" s="63">
        <v>12</v>
      </c>
      <c r="C13" s="64" t="s">
        <v>68</v>
      </c>
      <c r="D13" s="64"/>
      <c r="F13" t="str">
        <f t="shared" si="0"/>
        <v xml:space="preserve">Joby </v>
      </c>
      <c r="K13" s="67"/>
      <c r="Q13" s="1"/>
      <c r="R13" s="1"/>
      <c r="S13" s="1"/>
      <c r="T13" s="1"/>
      <c r="U13" s="1"/>
    </row>
    <row r="14" spans="2:21">
      <c r="B14" s="63">
        <v>13</v>
      </c>
      <c r="C14" s="64" t="s">
        <v>69</v>
      </c>
      <c r="D14" s="64"/>
      <c r="F14" t="str">
        <f t="shared" si="0"/>
        <v xml:space="preserve">Verdego </v>
      </c>
      <c r="K14" s="68" t="s">
        <v>149</v>
      </c>
      <c r="Q14" s="1"/>
      <c r="R14" s="1"/>
      <c r="S14" s="1"/>
      <c r="T14" s="1"/>
      <c r="U14" s="1"/>
    </row>
    <row r="15" spans="2:21">
      <c r="B15" s="63">
        <v>14</v>
      </c>
      <c r="C15" s="64" t="s">
        <v>70</v>
      </c>
      <c r="D15" s="64" t="s">
        <v>71</v>
      </c>
      <c r="F15" t="str">
        <f t="shared" si="0"/>
        <v>Urban Aeronautics Cormorant</v>
      </c>
      <c r="K15" s="68" t="s">
        <v>150</v>
      </c>
    </row>
    <row r="16" spans="2:21">
      <c r="B16" s="63">
        <v>15</v>
      </c>
      <c r="C16" s="64" t="s">
        <v>72</v>
      </c>
      <c r="D16" s="64" t="s">
        <v>73</v>
      </c>
      <c r="F16" t="str">
        <f t="shared" si="0"/>
        <v>Evation Alice</v>
      </c>
      <c r="K16" s="68" t="s">
        <v>151</v>
      </c>
    </row>
    <row r="17" spans="2:11">
      <c r="B17" s="63">
        <v>16</v>
      </c>
      <c r="C17" s="64" t="s">
        <v>74</v>
      </c>
      <c r="D17" s="64"/>
      <c r="F17" t="str">
        <f t="shared" si="0"/>
        <v xml:space="preserve">AeroMobil </v>
      </c>
      <c r="K17" s="68" t="s">
        <v>152</v>
      </c>
    </row>
    <row r="18" spans="2:11">
      <c r="B18" s="63">
        <v>17</v>
      </c>
      <c r="C18" s="64" t="s">
        <v>75</v>
      </c>
      <c r="D18" s="64" t="s">
        <v>76</v>
      </c>
      <c r="F18" t="str">
        <f t="shared" si="0"/>
        <v>Vimana AAV</v>
      </c>
      <c r="K18" s="68" t="s">
        <v>153</v>
      </c>
    </row>
    <row r="19" spans="2:11">
      <c r="B19" s="63">
        <v>18</v>
      </c>
      <c r="C19" s="64" t="s">
        <v>77</v>
      </c>
      <c r="D19" s="64"/>
      <c r="F19" t="str">
        <f t="shared" si="0"/>
        <v xml:space="preserve">Zee Aero </v>
      </c>
      <c r="K19" s="68" t="s">
        <v>154</v>
      </c>
    </row>
    <row r="20" spans="2:11">
      <c r="B20" s="63">
        <v>19</v>
      </c>
      <c r="C20" s="64" t="s">
        <v>78</v>
      </c>
      <c r="D20" s="64" t="s">
        <v>79</v>
      </c>
      <c r="F20" t="str">
        <f t="shared" si="0"/>
        <v>XTI TriFan 600</v>
      </c>
      <c r="K20" s="68" t="s">
        <v>155</v>
      </c>
    </row>
    <row r="21" spans="2:11">
      <c r="B21" s="63">
        <v>20</v>
      </c>
      <c r="C21" s="64" t="s">
        <v>80</v>
      </c>
      <c r="D21" s="64"/>
      <c r="F21" t="str">
        <f t="shared" si="0"/>
        <v xml:space="preserve">Kitty Hawk </v>
      </c>
      <c r="K21" s="67" t="s">
        <v>156</v>
      </c>
    </row>
    <row r="22" spans="2:11">
      <c r="B22" s="63">
        <v>21</v>
      </c>
      <c r="C22" s="64" t="s">
        <v>81</v>
      </c>
      <c r="D22" s="64" t="s">
        <v>82</v>
      </c>
      <c r="F22" t="str">
        <f t="shared" si="0"/>
        <v>AirspaceX Mobi-One</v>
      </c>
      <c r="K22" s="68" t="s">
        <v>157</v>
      </c>
    </row>
    <row r="23" spans="2:11">
      <c r="B23" s="63">
        <v>22</v>
      </c>
      <c r="C23" s="64" t="s">
        <v>83</v>
      </c>
      <c r="D23" s="64" t="s">
        <v>84</v>
      </c>
      <c r="F23" t="str">
        <f t="shared" si="0"/>
        <v>Avianovations Hepard</v>
      </c>
      <c r="K23" s="68" t="s">
        <v>158</v>
      </c>
    </row>
    <row r="24" spans="2:11">
      <c r="B24" s="63">
        <v>23</v>
      </c>
      <c r="C24" s="64" t="s">
        <v>85</v>
      </c>
      <c r="D24" s="64"/>
      <c r="F24" t="str">
        <f t="shared" si="0"/>
        <v xml:space="preserve">Bartini </v>
      </c>
      <c r="K24" s="68" t="s">
        <v>159</v>
      </c>
    </row>
    <row r="25" spans="2:11">
      <c r="B25" s="63">
        <v>24</v>
      </c>
      <c r="C25" s="64" t="s">
        <v>86</v>
      </c>
      <c r="D25" s="64" t="s">
        <v>87</v>
      </c>
      <c r="F25" t="str">
        <f t="shared" si="0"/>
        <v>Cartivator (Toyota) Skydrive</v>
      </c>
      <c r="K25" s="68" t="s">
        <v>160</v>
      </c>
    </row>
    <row r="26" spans="2:11">
      <c r="B26" s="63">
        <v>25</v>
      </c>
      <c r="C26" s="64" t="s">
        <v>88</v>
      </c>
      <c r="D26" s="64"/>
      <c r="F26" t="str">
        <f t="shared" si="0"/>
        <v xml:space="preserve">Dekatone </v>
      </c>
      <c r="K26" s="68" t="s">
        <v>161</v>
      </c>
    </row>
    <row r="27" spans="2:11">
      <c r="B27" s="63">
        <v>26</v>
      </c>
      <c r="C27" s="64" t="s">
        <v>89</v>
      </c>
      <c r="D27" s="64" t="s">
        <v>90</v>
      </c>
      <c r="F27" t="str">
        <f t="shared" si="0"/>
        <v>HoverSurf Formula</v>
      </c>
      <c r="K27" s="68" t="s">
        <v>162</v>
      </c>
    </row>
    <row r="28" spans="2:11">
      <c r="B28" s="63">
        <v>27</v>
      </c>
      <c r="C28" s="64" t="s">
        <v>89</v>
      </c>
      <c r="D28" s="64" t="s">
        <v>91</v>
      </c>
      <c r="F28" t="str">
        <f t="shared" si="0"/>
        <v>HoverSurf Scorpion 3</v>
      </c>
      <c r="K28" s="68" t="s">
        <v>163</v>
      </c>
    </row>
    <row r="29" spans="2:11">
      <c r="B29" s="63">
        <v>28</v>
      </c>
      <c r="C29" s="64" t="s">
        <v>92</v>
      </c>
      <c r="D29" s="64"/>
      <c r="F29" t="str">
        <f t="shared" si="0"/>
        <v xml:space="preserve">JetPack Aviation </v>
      </c>
      <c r="K29" s="68" t="s">
        <v>164</v>
      </c>
    </row>
    <row r="30" spans="2:11">
      <c r="B30" s="63">
        <v>29</v>
      </c>
      <c r="C30" s="64" t="s">
        <v>93</v>
      </c>
      <c r="D30" s="64"/>
      <c r="F30" t="str">
        <f t="shared" si="0"/>
        <v xml:space="preserve">Kalashnikov </v>
      </c>
      <c r="K30" s="68" t="s">
        <v>165</v>
      </c>
    </row>
    <row r="31" spans="2:11">
      <c r="B31" s="63">
        <v>30</v>
      </c>
      <c r="C31" s="64" t="s">
        <v>94</v>
      </c>
      <c r="D31" s="64"/>
      <c r="F31" t="str">
        <f>C31&amp;" "&amp;D31</f>
        <v xml:space="preserve">Passenger Drone </v>
      </c>
      <c r="K31" s="68" t="s">
        <v>166</v>
      </c>
    </row>
    <row r="32" spans="2:11">
      <c r="B32" s="63">
        <v>31</v>
      </c>
      <c r="C32" s="64" t="s">
        <v>95</v>
      </c>
      <c r="D32" s="64"/>
      <c r="F32" t="str">
        <f t="shared" si="0"/>
        <v xml:space="preserve">PAV-X </v>
      </c>
      <c r="K32" s="68" t="s">
        <v>167</v>
      </c>
    </row>
    <row r="33" spans="2:11">
      <c r="B33" s="63">
        <v>32</v>
      </c>
      <c r="C33" s="64" t="s">
        <v>96</v>
      </c>
      <c r="D33" s="64" t="s">
        <v>97</v>
      </c>
      <c r="F33" t="str">
        <f t="shared" si="0"/>
        <v>VRCO  NeoXCraft</v>
      </c>
      <c r="K33" s="68" t="s">
        <v>168</v>
      </c>
    </row>
    <row r="34" spans="2:11">
      <c r="B34" s="63">
        <v>33</v>
      </c>
      <c r="C34" s="64" t="s">
        <v>98</v>
      </c>
      <c r="D34" s="64" t="s">
        <v>99</v>
      </c>
      <c r="F34" t="str">
        <f t="shared" si="0"/>
        <v>Workhorse SureFly</v>
      </c>
      <c r="K34" s="68" t="s">
        <v>169</v>
      </c>
    </row>
    <row r="35" spans="2:11">
      <c r="B35" s="63">
        <v>34</v>
      </c>
      <c r="C35" s="64" t="s">
        <v>100</v>
      </c>
      <c r="D35" s="64" t="s">
        <v>101</v>
      </c>
      <c r="F35" t="str">
        <f t="shared" si="0"/>
        <v>Autonomous Flight Y6S</v>
      </c>
      <c r="K35" s="68" t="s">
        <v>170</v>
      </c>
    </row>
    <row r="36" spans="2:11">
      <c r="B36" s="63">
        <v>35</v>
      </c>
      <c r="C36" s="64" t="s">
        <v>102</v>
      </c>
      <c r="D36" s="64" t="s">
        <v>103</v>
      </c>
      <c r="F36" t="str">
        <f t="shared" si="0"/>
        <v>Carter Cartercopter</v>
      </c>
      <c r="K36" s="68" t="s">
        <v>171</v>
      </c>
    </row>
    <row r="37" spans="2:11">
      <c r="B37" s="63">
        <v>36</v>
      </c>
      <c r="C37" s="64" t="s">
        <v>104</v>
      </c>
      <c r="D37" s="64" t="s">
        <v>105</v>
      </c>
      <c r="F37" t="str">
        <f t="shared" si="0"/>
        <v>Digi Roboics Drofire/Droxi</v>
      </c>
      <c r="K37" s="68" t="s">
        <v>172</v>
      </c>
    </row>
    <row r="38" spans="2:11">
      <c r="B38" s="63">
        <v>37</v>
      </c>
      <c r="C38" s="64" t="s">
        <v>106</v>
      </c>
      <c r="D38" s="64" t="s">
        <v>107</v>
      </c>
      <c r="F38" t="str">
        <f t="shared" si="0"/>
        <v>EVA X01</v>
      </c>
      <c r="K38" s="68" t="s">
        <v>173</v>
      </c>
    </row>
    <row r="39" spans="2:11">
      <c r="B39" s="63">
        <v>38</v>
      </c>
      <c r="C39" s="64" t="s">
        <v>108</v>
      </c>
      <c r="D39" s="64"/>
      <c r="F39" t="str">
        <f t="shared" si="0"/>
        <v xml:space="preserve">FlexCraft </v>
      </c>
      <c r="K39" s="68" t="s">
        <v>174</v>
      </c>
    </row>
    <row r="40" spans="2:11">
      <c r="B40" s="63">
        <v>39</v>
      </c>
      <c r="C40" s="64" t="s">
        <v>109</v>
      </c>
      <c r="D40" s="64" t="s">
        <v>110</v>
      </c>
      <c r="F40" t="str">
        <f t="shared" si="0"/>
        <v>HopFlyt Venturi</v>
      </c>
      <c r="K40" s="68" t="s">
        <v>175</v>
      </c>
    </row>
    <row r="41" spans="2:11">
      <c r="B41" s="63">
        <v>40</v>
      </c>
      <c r="C41" s="64" t="s">
        <v>111</v>
      </c>
      <c r="D41" s="64" t="s">
        <v>112</v>
      </c>
      <c r="F41" t="str">
        <f t="shared" si="0"/>
        <v>JAXA Hornisse</v>
      </c>
      <c r="K41" s="68" t="s">
        <v>176</v>
      </c>
    </row>
    <row r="42" spans="2:11">
      <c r="B42" s="63">
        <v>41</v>
      </c>
      <c r="C42" s="64" t="s">
        <v>113</v>
      </c>
      <c r="D42" s="64"/>
      <c r="F42" t="str">
        <f t="shared" si="0"/>
        <v xml:space="preserve">Skylys </v>
      </c>
      <c r="K42" s="68" t="s">
        <v>177</v>
      </c>
    </row>
    <row r="43" spans="2:11">
      <c r="B43" s="63">
        <v>42</v>
      </c>
      <c r="C43" s="64" t="s">
        <v>114</v>
      </c>
      <c r="D43" s="64" t="s">
        <v>115</v>
      </c>
      <c r="F43" t="str">
        <f t="shared" si="0"/>
        <v>Martin JetPack</v>
      </c>
      <c r="K43" s="68" t="s">
        <v>178</v>
      </c>
    </row>
    <row r="44" spans="2:11">
      <c r="B44" s="63">
        <v>43</v>
      </c>
      <c r="C44" s="64" t="s">
        <v>116</v>
      </c>
      <c r="D44" s="64" t="s">
        <v>117</v>
      </c>
      <c r="F44" t="str">
        <f t="shared" si="0"/>
        <v>Alauda Airspeeder</v>
      </c>
      <c r="K44" s="68" t="s">
        <v>179</v>
      </c>
    </row>
    <row r="45" spans="2:11">
      <c r="B45" s="63">
        <v>44</v>
      </c>
      <c r="C45" s="64" t="s">
        <v>118</v>
      </c>
      <c r="D45" s="64" t="s">
        <v>119</v>
      </c>
      <c r="F45" t="str">
        <f t="shared" si="0"/>
        <v>Davinci ZeroG</v>
      </c>
      <c r="K45" s="68" t="s">
        <v>180</v>
      </c>
    </row>
    <row r="46" spans="2:11">
      <c r="B46" s="63">
        <v>45</v>
      </c>
      <c r="C46" s="64" t="s">
        <v>120</v>
      </c>
      <c r="D46" s="64"/>
      <c r="F46" t="str">
        <f t="shared" si="0"/>
        <v xml:space="preserve">Flike </v>
      </c>
      <c r="K46" s="67"/>
    </row>
    <row r="47" spans="2:11">
      <c r="B47" s="63">
        <v>46</v>
      </c>
      <c r="C47" s="64" t="s">
        <v>121</v>
      </c>
      <c r="D47" s="64" t="s">
        <v>122</v>
      </c>
      <c r="F47" t="str">
        <f t="shared" si="0"/>
        <v>Flyt FlytCycle</v>
      </c>
      <c r="K47" s="68" t="s">
        <v>181</v>
      </c>
    </row>
    <row r="48" spans="2:11">
      <c r="B48" s="63">
        <v>47</v>
      </c>
      <c r="C48" s="64" t="s">
        <v>123</v>
      </c>
      <c r="D48" s="64"/>
      <c r="F48" t="str">
        <f t="shared" si="0"/>
        <v xml:space="preserve">GravityX </v>
      </c>
      <c r="K48" s="67"/>
    </row>
    <row r="49" spans="2:11">
      <c r="B49" s="63">
        <v>48</v>
      </c>
      <c r="C49" s="64" t="s">
        <v>124</v>
      </c>
      <c r="D49" s="64"/>
      <c r="F49" t="str">
        <f t="shared" si="0"/>
        <v xml:space="preserve">Malloy </v>
      </c>
      <c r="K49" s="68" t="s">
        <v>182</v>
      </c>
    </row>
    <row r="50" spans="2:11">
      <c r="B50" s="63">
        <v>49</v>
      </c>
      <c r="C50" s="64" t="s">
        <v>125</v>
      </c>
      <c r="D50" s="64" t="s">
        <v>126</v>
      </c>
      <c r="F50" t="str">
        <f t="shared" si="0"/>
        <v>Neva AirQuadOne</v>
      </c>
      <c r="K50" s="68" t="s">
        <v>183</v>
      </c>
    </row>
    <row r="51" spans="2:11">
      <c r="B51" s="63">
        <v>50</v>
      </c>
      <c r="C51" s="64" t="s">
        <v>127</v>
      </c>
      <c r="D51" s="64" t="s">
        <v>128</v>
      </c>
      <c r="F51" t="str">
        <f t="shared" si="0"/>
        <v>Airis Airisone</v>
      </c>
      <c r="K51" s="68" t="s">
        <v>184</v>
      </c>
    </row>
    <row r="52" spans="2:11">
      <c r="B52" s="63">
        <v>51</v>
      </c>
      <c r="C52" s="64" t="s">
        <v>129</v>
      </c>
      <c r="D52" s="64"/>
      <c r="F52" t="str">
        <f t="shared" si="0"/>
        <v xml:space="preserve">Ampaire </v>
      </c>
      <c r="K52" s="68" t="s">
        <v>185</v>
      </c>
    </row>
    <row r="53" spans="2:11">
      <c r="B53" s="63">
        <v>52</v>
      </c>
      <c r="C53" s="64" t="s">
        <v>130</v>
      </c>
      <c r="D53" s="64"/>
      <c r="F53" t="str">
        <f t="shared" si="0"/>
        <v xml:space="preserve">Sabrewing </v>
      </c>
      <c r="K53" s="68" t="s">
        <v>186</v>
      </c>
    </row>
    <row r="54" spans="2:11">
      <c r="B54" s="63">
        <v>53</v>
      </c>
      <c r="C54" s="64" t="s">
        <v>131</v>
      </c>
      <c r="D54" s="64"/>
      <c r="F54" t="str">
        <f t="shared" si="0"/>
        <v xml:space="preserve">Talos </v>
      </c>
      <c r="K54" s="68" t="s">
        <v>187</v>
      </c>
    </row>
    <row r="55" spans="2:11">
      <c r="B55" s="63">
        <v>54</v>
      </c>
      <c r="C55" s="64" t="s">
        <v>132</v>
      </c>
      <c r="D55" s="64" t="s">
        <v>133</v>
      </c>
      <c r="F55" t="str">
        <f t="shared" si="0"/>
        <v>Faradair Beha</v>
      </c>
      <c r="K55" s="67" t="s">
        <v>188</v>
      </c>
    </row>
    <row r="56" spans="2:11">
      <c r="B56" s="63">
        <v>55</v>
      </c>
      <c r="C56" s="64" t="s">
        <v>134</v>
      </c>
      <c r="D56" s="64" t="s">
        <v>135</v>
      </c>
      <c r="F56" t="str">
        <f t="shared" si="0"/>
        <v>Onera Ampere</v>
      </c>
      <c r="K56" s="68" t="s">
        <v>189</v>
      </c>
    </row>
    <row r="57" spans="2:11">
      <c r="B57" s="63">
        <v>56</v>
      </c>
      <c r="C57" s="64" t="s">
        <v>136</v>
      </c>
      <c r="D57" s="64" t="s">
        <v>137</v>
      </c>
      <c r="F57" t="str">
        <f t="shared" si="0"/>
        <v>Solar Flight 6-Seat</v>
      </c>
      <c r="K57" s="68" t="s">
        <v>190</v>
      </c>
    </row>
    <row r="58" spans="2:11">
      <c r="B58" s="63">
        <v>57</v>
      </c>
      <c r="C58" s="64" t="s">
        <v>138</v>
      </c>
      <c r="D58" s="64" t="s">
        <v>139</v>
      </c>
      <c r="F58" t="str">
        <f t="shared" si="0"/>
        <v>Synergy V31</v>
      </c>
      <c r="K58" s="68" t="s">
        <v>191</v>
      </c>
    </row>
    <row r="59" spans="2:11">
      <c r="B59" s="63">
        <v>58</v>
      </c>
      <c r="C59" s="64" t="s">
        <v>140</v>
      </c>
      <c r="D59" s="64"/>
      <c r="F59" t="str">
        <f t="shared" si="0"/>
        <v xml:space="preserve">PAL-V </v>
      </c>
      <c r="K59" s="68" t="s">
        <v>192</v>
      </c>
    </row>
  </sheetData>
  <hyperlinks>
    <hyperlink ref="K10" r:id="rId1" xr:uid="{8F14501C-B34A-4CBB-A7FF-7D511577E977}"/>
    <hyperlink ref="K3" r:id="rId2" xr:uid="{A32A3792-EC7F-4E0C-A825-E5910AB2911F}"/>
    <hyperlink ref="K6" r:id="rId3" xr:uid="{FB1142DE-3FE3-416A-BD53-B9C1968F437C}"/>
    <hyperlink ref="K11" r:id="rId4" xr:uid="{CD85D87F-666A-4FE7-8395-231E3DF84A46}"/>
    <hyperlink ref="K12" r:id="rId5" xr:uid="{84596AD8-3097-4D8C-B932-FE7D7FB3A519}"/>
    <hyperlink ref="K17" r:id="rId6" xr:uid="{DCF8A9DA-8B0B-4283-AA8B-F96EFD111730}"/>
    <hyperlink ref="K16" r:id="rId7" xr:uid="{B25DF2CE-A344-483C-97CD-5A35B35DE87C}"/>
    <hyperlink ref="K15" r:id="rId8" xr:uid="{BC0904F1-3240-4A12-9359-75ECB8E72EFF}"/>
    <hyperlink ref="K18" r:id="rId9" xr:uid="{5E76678E-DADE-4E57-A760-3EC54BDE2252}"/>
    <hyperlink ref="K20" r:id="rId10" xr:uid="{6D4ACE19-5D39-4171-A260-8112F134E39B}"/>
    <hyperlink ref="K19" r:id="rId11" xr:uid="{320E7944-8897-4480-8C9A-FDC53CA05846}"/>
    <hyperlink ref="K22" r:id="rId12" xr:uid="{3B8D120F-0CF2-4BF8-BEAC-7E10EE942939}"/>
    <hyperlink ref="K23" r:id="rId13" xr:uid="{D043283A-73AB-4D75-8FC9-AB5280A66144}"/>
    <hyperlink ref="K24" r:id="rId14" xr:uid="{3517BBC7-AC25-472B-AA8F-4888837A1B6E}"/>
    <hyperlink ref="K25" r:id="rId15" xr:uid="{77F98410-389B-4AAE-887B-DAEC7F66A934}"/>
    <hyperlink ref="K26" r:id="rId16" xr:uid="{4F0ABAED-8CD5-42F9-AB49-CCD6A3FBB98B}"/>
    <hyperlink ref="K27" r:id="rId17" xr:uid="{BDF90526-8669-49B4-B560-25A2813AC194}"/>
    <hyperlink ref="K28" r:id="rId18" xr:uid="{591303D0-DAB8-4BCD-90BB-7D82A24938BF}"/>
    <hyperlink ref="K29" r:id="rId19" xr:uid="{3EE50336-5E2F-4427-B389-B72AE44F34A7}"/>
    <hyperlink ref="K30" r:id="rId20" xr:uid="{A38FAF0B-33C0-49EA-B68D-9C2C3779D161}"/>
    <hyperlink ref="K31" r:id="rId21" xr:uid="{724EA086-6B4F-49AB-9049-BB80F27A6C76}"/>
    <hyperlink ref="K32" r:id="rId22" xr:uid="{A64E6F85-8AEF-4C02-85A0-15663790B258}"/>
    <hyperlink ref="K33" r:id="rId23" xr:uid="{B0444C33-668D-45D2-974B-A0D15628A204}"/>
    <hyperlink ref="K34" r:id="rId24" xr:uid="{7F68AC5C-9C12-4F76-8CFD-4B8BD4D2539B}"/>
    <hyperlink ref="K35" r:id="rId25" xr:uid="{B27EE566-F02B-49F8-9C2F-AFF512B7CBAF}"/>
    <hyperlink ref="K36" r:id="rId26" xr:uid="{3048D9BB-A104-4275-9338-C1185D6B2020}"/>
    <hyperlink ref="K37" r:id="rId27" xr:uid="{81645ADD-E752-4002-ABBD-8753CEB07F3A}"/>
    <hyperlink ref="K38" r:id="rId28" xr:uid="{D4CEFB45-EF6B-46D0-B80C-94388FF5657C}"/>
    <hyperlink ref="K39" r:id="rId29" xr:uid="{5C5C648F-E600-4CB8-8CE5-FA15AA61507D}"/>
    <hyperlink ref="K40" r:id="rId30" xr:uid="{3F972CF6-F0C8-4BAB-8BB2-6F01130E4772}"/>
    <hyperlink ref="K41" r:id="rId31" xr:uid="{0AABE0C7-B805-497B-9B77-9648E2F77A53}"/>
    <hyperlink ref="K42" r:id="rId32" xr:uid="{3154DCD9-3E49-42DE-A244-C4A9FD59257C}"/>
    <hyperlink ref="K43" r:id="rId33" xr:uid="{91B38655-5159-451C-AD5B-3C860B52C52F}"/>
    <hyperlink ref="K44" r:id="rId34" xr:uid="{5D853C0B-860D-477E-B013-069726ABE02F}"/>
    <hyperlink ref="K45" r:id="rId35" xr:uid="{6A631F1E-B824-4F56-B672-D5A5E1D237D5}"/>
    <hyperlink ref="K47" r:id="rId36" xr:uid="{1E2DCCC8-22FC-4893-94D4-97C0677BC52C}"/>
    <hyperlink ref="K49" r:id="rId37" xr:uid="{53FDCAEB-09C5-49B0-8801-CFEA4207519D}"/>
    <hyperlink ref="K50" r:id="rId38" xr:uid="{FC6B39B7-4CD9-4FAD-BB62-F93F2133522E}"/>
    <hyperlink ref="K14" r:id="rId39" xr:uid="{E09DB31C-4363-404E-8E80-5D9513E6808F}"/>
    <hyperlink ref="K51" r:id="rId40" xr:uid="{B9188163-197E-4D82-90E9-5E97F6587224}"/>
    <hyperlink ref="K52" r:id="rId41" xr:uid="{3E916C13-BAA1-4F93-9B50-7F80813499DB}"/>
    <hyperlink ref="K53" r:id="rId42" xr:uid="{468E097C-B123-47B2-918A-AC86A9121E2A}"/>
    <hyperlink ref="K54" r:id="rId43" xr:uid="{CEE623DB-2277-409D-B489-B6AEE52705E8}"/>
    <hyperlink ref="K5" r:id="rId44" xr:uid="{148D8C0B-743C-475A-98AE-8FFE037DC6A3}"/>
    <hyperlink ref="K7" r:id="rId45" xr:uid="{5337CB8F-A051-44DC-A44C-8B4B4F0E9421}"/>
    <hyperlink ref="K8" r:id="rId46" xr:uid="{E3C84B08-FAC6-4561-8356-1F6A4B179862}"/>
    <hyperlink ref="K9" r:id="rId47" xr:uid="{B7C4C6B5-F713-46D0-8CEC-0384B6E3FB61}"/>
    <hyperlink ref="K56" r:id="rId48" xr:uid="{16A25867-1858-457F-9CF8-17D8732E4266}"/>
    <hyperlink ref="K57" r:id="rId49" xr:uid="{2B75C562-F9B8-40BE-9AE0-0C187813CF00}"/>
    <hyperlink ref="K58" r:id="rId50" xr:uid="{675061CF-1004-4A0B-9AAD-968B0B2C4E53}"/>
    <hyperlink ref="K59" r:id="rId51" xr:uid="{51B18A66-992C-4285-951D-CC0628DCAB4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INPUT AND RESULTS</vt:lpstr>
      <vt:lpstr>CALC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2018-03-31T16:06:35Z</dcterms:modified>
</cp:coreProperties>
</file>