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Analysis" sheetId="2" r:id="rId2"/>
  </sheets>
  <externalReferences>
    <externalReference r:id="rId3"/>
    <externalReference r:id="rId4"/>
  </externalReferences>
  <definedNames>
    <definedName name="_xlnm.Print_Area" localSheetId="1">Analysis!$A$8:$K$360</definedName>
    <definedName name="_xlnm.Print_Area" localSheetId="0">'READ ME'!$A$8:$K$62</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J124" i="2" s="1"/>
  <c r="AA333" i="2"/>
  <c r="Z333" i="2"/>
  <c r="Y333" i="2"/>
  <c r="X323" i="2"/>
  <c r="X324" i="2" s="1"/>
  <c r="AA322" i="2"/>
  <c r="Z322" i="2"/>
  <c r="Y322" i="2"/>
  <c r="AA321" i="2"/>
  <c r="Z321" i="2"/>
  <c r="Y321" i="2"/>
  <c r="AA320" i="2"/>
  <c r="Z320" i="2"/>
  <c r="Y320" i="2"/>
  <c r="AB319" i="2"/>
  <c r="AB323" i="2" s="1"/>
  <c r="AA319" i="2"/>
  <c r="Z319" i="2"/>
  <c r="Y319" i="2"/>
  <c r="AA318" i="2"/>
  <c r="Z318" i="2"/>
  <c r="Y318" i="2"/>
  <c r="AC317" i="2"/>
  <c r="AC321" i="2" s="1"/>
  <c r="AA317" i="2"/>
  <c r="Z317" i="2"/>
  <c r="Y317" i="2"/>
  <c r="AA316" i="2"/>
  <c r="Z316" i="2"/>
  <c r="Y316" i="2"/>
  <c r="AA315" i="2"/>
  <c r="Z315" i="2"/>
  <c r="Y315" i="2"/>
  <c r="AA314" i="2"/>
  <c r="Z314" i="2"/>
  <c r="Y314" i="2"/>
  <c r="AA313" i="2"/>
  <c r="Z313" i="2"/>
  <c r="Y313" i="2"/>
  <c r="AA312" i="2"/>
  <c r="Z312" i="2"/>
  <c r="Y312" i="2"/>
  <c r="AA311" i="2"/>
  <c r="Z311" i="2"/>
  <c r="Y311" i="2"/>
  <c r="AA310" i="2"/>
  <c r="Z310" i="2"/>
  <c r="Y310" i="2"/>
  <c r="AA309" i="2"/>
  <c r="Z309" i="2"/>
  <c r="Y309" i="2"/>
  <c r="B303" i="2"/>
  <c r="F302" i="2"/>
  <c r="L301" i="2"/>
  <c r="F301" i="2"/>
  <c r="J300" i="2"/>
  <c r="F300" i="2"/>
  <c r="J299" i="2"/>
  <c r="F299" i="2"/>
  <c r="Z271" i="2"/>
  <c r="Y271" i="2"/>
  <c r="Y261" i="2"/>
  <c r="X261" i="2"/>
  <c r="X262" i="2" s="1"/>
  <c r="Z260" i="2"/>
  <c r="Y260" i="2"/>
  <c r="Z259" i="2"/>
  <c r="Y259" i="2"/>
  <c r="Z258" i="2"/>
  <c r="Y258" i="2"/>
  <c r="AB257" i="2"/>
  <c r="Z257" i="2"/>
  <c r="Y257" i="2"/>
  <c r="Z256" i="2"/>
  <c r="Y256" i="2"/>
  <c r="AC255" i="2"/>
  <c r="Z255" i="2"/>
  <c r="Y255" i="2"/>
  <c r="Z254" i="2"/>
  <c r="Y254" i="2"/>
  <c r="Z253" i="2"/>
  <c r="Y253" i="2"/>
  <c r="Z252" i="2"/>
  <c r="Y252" i="2"/>
  <c r="Z251" i="2"/>
  <c r="Y251" i="2"/>
  <c r="Z250" i="2"/>
  <c r="Y250" i="2"/>
  <c r="B241" i="2"/>
  <c r="F240" i="2"/>
  <c r="L239" i="2"/>
  <c r="F239" i="2"/>
  <c r="J238" i="2"/>
  <c r="F238" i="2"/>
  <c r="J237" i="2"/>
  <c r="F237" i="2"/>
  <c r="AO212" i="2"/>
  <c r="AO213" i="2" s="1"/>
  <c r="AO214" i="2" s="1"/>
  <c r="AO215" i="2" s="1"/>
  <c r="AO216" i="2" s="1"/>
  <c r="AO217" i="2" s="1"/>
  <c r="AO218" i="2" s="1"/>
  <c r="AO219" i="2" s="1"/>
  <c r="AO220" i="2" s="1"/>
  <c r="AO221" i="2" s="1"/>
  <c r="AO222" i="2" s="1"/>
  <c r="AO223" i="2" s="1"/>
  <c r="AO224" i="2" s="1"/>
  <c r="AO211" i="2"/>
  <c r="AO210" i="2"/>
  <c r="V208" i="2"/>
  <c r="AT203" i="2"/>
  <c r="AD192" i="2" s="1"/>
  <c r="AK202" i="2"/>
  <c r="AK225" i="2" s="1"/>
  <c r="AT199" i="2"/>
  <c r="AD196" i="2" s="1"/>
  <c r="AT196" i="2"/>
  <c r="AG201" i="2" s="1"/>
  <c r="AG202" i="2" s="1"/>
  <c r="AD195" i="2"/>
  <c r="AT193" i="2"/>
  <c r="AT216" i="2" s="1"/>
  <c r="AD193" i="2"/>
  <c r="AD194" i="2" s="1"/>
  <c r="AG192" i="2"/>
  <c r="AG195" i="2" s="1"/>
  <c r="AD191" i="2"/>
  <c r="W191" i="2"/>
  <c r="AT190" i="2"/>
  <c r="AT213" i="2" s="1"/>
  <c r="AT187" i="2"/>
  <c r="AT210" i="2" s="1"/>
  <c r="AO187" i="2"/>
  <c r="AN186" i="2"/>
  <c r="AJ186" i="2" s="1"/>
  <c r="V185" i="2"/>
  <c r="B183" i="2"/>
  <c r="F182" i="2"/>
  <c r="L181" i="2"/>
  <c r="F181" i="2"/>
  <c r="J180" i="2"/>
  <c r="F180" i="2"/>
  <c r="J179" i="2"/>
  <c r="F179" i="2"/>
  <c r="AC161" i="2"/>
  <c r="AB161" i="2"/>
  <c r="AA161" i="2"/>
  <c r="Z161" i="2"/>
  <c r="Y161" i="2"/>
  <c r="X161" i="2"/>
  <c r="AC160" i="2"/>
  <c r="AB160" i="2"/>
  <c r="AA160" i="2"/>
  <c r="Z160" i="2"/>
  <c r="Y160" i="2"/>
  <c r="X160" i="2"/>
  <c r="AC159" i="2"/>
  <c r="AB159" i="2"/>
  <c r="AA159" i="2"/>
  <c r="Z159" i="2"/>
  <c r="Y159" i="2"/>
  <c r="X159" i="2"/>
  <c r="AC158" i="2"/>
  <c r="AB158" i="2"/>
  <c r="AA158" i="2"/>
  <c r="Z158" i="2"/>
  <c r="Y158" i="2"/>
  <c r="X158" i="2"/>
  <c r="AC157" i="2"/>
  <c r="AB157" i="2"/>
  <c r="AA157" i="2"/>
  <c r="Z157" i="2"/>
  <c r="Y157" i="2"/>
  <c r="X157" i="2"/>
  <c r="AC156" i="2"/>
  <c r="AB156" i="2"/>
  <c r="AA156" i="2"/>
  <c r="Z156" i="2"/>
  <c r="Y156" i="2"/>
  <c r="X156" i="2"/>
  <c r="AC155" i="2"/>
  <c r="AB155" i="2"/>
  <c r="AA155" i="2"/>
  <c r="Z155" i="2"/>
  <c r="Y155" i="2"/>
  <c r="X155" i="2"/>
  <c r="AC154" i="2"/>
  <c r="AB154" i="2"/>
  <c r="AA154" i="2"/>
  <c r="Z154" i="2"/>
  <c r="Y154" i="2"/>
  <c r="X154" i="2"/>
  <c r="AC153" i="2"/>
  <c r="AB153" i="2"/>
  <c r="AA153" i="2"/>
  <c r="Z153" i="2"/>
  <c r="Y153" i="2"/>
  <c r="X153" i="2"/>
  <c r="AC152" i="2"/>
  <c r="AB152" i="2"/>
  <c r="AA152" i="2"/>
  <c r="Z152" i="2"/>
  <c r="Y152" i="2"/>
  <c r="X152" i="2"/>
  <c r="AC151" i="2"/>
  <c r="AB151" i="2"/>
  <c r="AA151" i="2"/>
  <c r="Z151" i="2"/>
  <c r="Y151" i="2"/>
  <c r="X151" i="2"/>
  <c r="AC150" i="2"/>
  <c r="AB150" i="2"/>
  <c r="AA150" i="2"/>
  <c r="Z150" i="2"/>
  <c r="Y150" i="2"/>
  <c r="X150" i="2"/>
  <c r="AC149" i="2"/>
  <c r="AB149" i="2"/>
  <c r="AA149" i="2"/>
  <c r="Z149" i="2"/>
  <c r="Y149" i="2"/>
  <c r="X149" i="2"/>
  <c r="AC148" i="2"/>
  <c r="AB148" i="2"/>
  <c r="AA148" i="2"/>
  <c r="Z148" i="2"/>
  <c r="Y148" i="2"/>
  <c r="X148" i="2"/>
  <c r="AC147" i="2"/>
  <c r="AB147" i="2"/>
  <c r="AA147" i="2"/>
  <c r="Z147" i="2"/>
  <c r="Y147" i="2"/>
  <c r="X147" i="2"/>
  <c r="AC146" i="2"/>
  <c r="AB146" i="2"/>
  <c r="AA146" i="2"/>
  <c r="Z146" i="2"/>
  <c r="Y146" i="2"/>
  <c r="X146" i="2"/>
  <c r="AC145" i="2"/>
  <c r="AB145" i="2"/>
  <c r="AA145" i="2"/>
  <c r="Z145" i="2"/>
  <c r="Y145" i="2"/>
  <c r="X145" i="2"/>
  <c r="AC144" i="2"/>
  <c r="AB144" i="2"/>
  <c r="AA144" i="2"/>
  <c r="Z144" i="2"/>
  <c r="Y144" i="2"/>
  <c r="X144" i="2"/>
  <c r="AC143" i="2"/>
  <c r="AB143" i="2"/>
  <c r="AA143" i="2"/>
  <c r="Z143" i="2"/>
  <c r="Y143" i="2"/>
  <c r="X143" i="2"/>
  <c r="AC142" i="2"/>
  <c r="AB142" i="2"/>
  <c r="AA142" i="2"/>
  <c r="Z142" i="2"/>
  <c r="Y142" i="2"/>
  <c r="X142" i="2"/>
  <c r="AC141" i="2"/>
  <c r="AB141" i="2"/>
  <c r="AA141" i="2"/>
  <c r="Z141" i="2"/>
  <c r="Y141" i="2"/>
  <c r="X141" i="2"/>
  <c r="AC140" i="2"/>
  <c r="AB140" i="2"/>
  <c r="AA140" i="2"/>
  <c r="Z140" i="2"/>
  <c r="Y140" i="2"/>
  <c r="X140" i="2"/>
  <c r="B126" i="2"/>
  <c r="F125" i="2"/>
  <c r="L124" i="2"/>
  <c r="F124" i="2"/>
  <c r="J123" i="2"/>
  <c r="F123" i="2"/>
  <c r="J122" i="2"/>
  <c r="F122" i="2"/>
  <c r="AC104" i="2"/>
  <c r="AB104" i="2"/>
  <c r="AA104" i="2"/>
  <c r="Z104" i="2"/>
  <c r="Y104" i="2"/>
  <c r="X104" i="2"/>
  <c r="AC103" i="2"/>
  <c r="AB103" i="2"/>
  <c r="AA103" i="2"/>
  <c r="Z103" i="2"/>
  <c r="Y103" i="2"/>
  <c r="X103" i="2"/>
  <c r="AC102" i="2"/>
  <c r="AB102" i="2"/>
  <c r="AA102" i="2"/>
  <c r="Z102" i="2"/>
  <c r="Y102" i="2"/>
  <c r="X102" i="2"/>
  <c r="AC101" i="2"/>
  <c r="AB101" i="2"/>
  <c r="AA101" i="2"/>
  <c r="Z101" i="2"/>
  <c r="Y101" i="2"/>
  <c r="X101" i="2"/>
  <c r="AC100" i="2"/>
  <c r="AB100" i="2"/>
  <c r="AA100" i="2"/>
  <c r="Z100" i="2"/>
  <c r="Y100" i="2"/>
  <c r="X100" i="2"/>
  <c r="AC99" i="2"/>
  <c r="AB99" i="2"/>
  <c r="AA99" i="2"/>
  <c r="Z99" i="2"/>
  <c r="Y99" i="2"/>
  <c r="X99" i="2"/>
  <c r="AC98" i="2"/>
  <c r="AB98" i="2"/>
  <c r="AA98" i="2"/>
  <c r="Z98" i="2"/>
  <c r="Y98" i="2"/>
  <c r="X98" i="2"/>
  <c r="AC97" i="2"/>
  <c r="AB97" i="2"/>
  <c r="AA97" i="2"/>
  <c r="Z97" i="2"/>
  <c r="Y97" i="2"/>
  <c r="X97" i="2"/>
  <c r="AC96" i="2"/>
  <c r="AB96" i="2"/>
  <c r="AA96" i="2"/>
  <c r="Z96" i="2"/>
  <c r="Y96" i="2"/>
  <c r="X96" i="2"/>
  <c r="AC95" i="2"/>
  <c r="AB95" i="2"/>
  <c r="AA95" i="2"/>
  <c r="Z95" i="2"/>
  <c r="Y95" i="2"/>
  <c r="X95" i="2"/>
  <c r="AC94" i="2"/>
  <c r="AB94" i="2"/>
  <c r="AA94" i="2"/>
  <c r="Z94" i="2"/>
  <c r="Y94" i="2"/>
  <c r="X94" i="2"/>
  <c r="AC93" i="2"/>
  <c r="AB93" i="2"/>
  <c r="AA93" i="2"/>
  <c r="Z93" i="2"/>
  <c r="Y93" i="2"/>
  <c r="X93" i="2"/>
  <c r="AC92" i="2"/>
  <c r="AB92" i="2"/>
  <c r="AA92" i="2"/>
  <c r="Z92" i="2"/>
  <c r="Y92" i="2"/>
  <c r="X92" i="2"/>
  <c r="AC91" i="2"/>
  <c r="AB91" i="2"/>
  <c r="AA91" i="2"/>
  <c r="Z91" i="2"/>
  <c r="Y91" i="2"/>
  <c r="X91" i="2"/>
  <c r="AC90" i="2"/>
  <c r="AB90" i="2"/>
  <c r="AA90" i="2"/>
  <c r="Z90" i="2"/>
  <c r="Y90" i="2"/>
  <c r="X90" i="2"/>
  <c r="AC89" i="2"/>
  <c r="AB89" i="2"/>
  <c r="AA89" i="2"/>
  <c r="Z89" i="2"/>
  <c r="Y89" i="2"/>
  <c r="X89" i="2"/>
  <c r="AC88" i="2"/>
  <c r="AB88" i="2"/>
  <c r="AA88" i="2"/>
  <c r="Z88" i="2"/>
  <c r="Y88" i="2"/>
  <c r="X88" i="2"/>
  <c r="AC87" i="2"/>
  <c r="AB87" i="2"/>
  <c r="AA87" i="2"/>
  <c r="Z87" i="2"/>
  <c r="Y87" i="2"/>
  <c r="X87" i="2"/>
  <c r="AC86" i="2"/>
  <c r="AB86" i="2"/>
  <c r="AA86" i="2"/>
  <c r="Z86" i="2"/>
  <c r="Y86" i="2"/>
  <c r="X86" i="2"/>
  <c r="AC85" i="2"/>
  <c r="AB85" i="2"/>
  <c r="AA85" i="2"/>
  <c r="Z85" i="2"/>
  <c r="Y85" i="2"/>
  <c r="X85" i="2"/>
  <c r="AC84" i="2"/>
  <c r="AB84" i="2"/>
  <c r="AA84" i="2"/>
  <c r="Z84" i="2"/>
  <c r="Y84" i="2"/>
  <c r="X84" i="2"/>
  <c r="AC83" i="2"/>
  <c r="AB83" i="2"/>
  <c r="AA83" i="2"/>
  <c r="Z83" i="2"/>
  <c r="Y83" i="2"/>
  <c r="X83" i="2"/>
  <c r="B69" i="2"/>
  <c r="F68" i="2"/>
  <c r="L67" i="2"/>
  <c r="F67" i="2"/>
  <c r="J66" i="2"/>
  <c r="F66" i="2"/>
  <c r="J65" i="2"/>
  <c r="F65" i="2"/>
  <c r="C36" i="2"/>
  <c r="AT200" i="2" s="1"/>
  <c r="C35" i="2"/>
  <c r="C133" i="2" s="1"/>
  <c r="AE141" i="2" s="1"/>
  <c r="AF150" i="2" s="1"/>
  <c r="AF151" i="2" s="1"/>
  <c r="C23" i="2"/>
  <c r="C22" i="2"/>
  <c r="AC19" i="2"/>
  <c r="AB19" i="2"/>
  <c r="AA19" i="2"/>
  <c r="C19" i="2"/>
  <c r="B12" i="2"/>
  <c r="F11" i="2"/>
  <c r="L10" i="2"/>
  <c r="F10" i="2"/>
  <c r="J9" i="2"/>
  <c r="F9" i="2"/>
  <c r="J8" i="2"/>
  <c r="F8" i="2"/>
  <c r="X7" i="2"/>
  <c r="X6" i="2"/>
  <c r="X5" i="2"/>
  <c r="X4" i="2"/>
  <c r="X3" i="2"/>
  <c r="X2" i="2"/>
  <c r="X1" i="2"/>
  <c r="C12" i="1"/>
  <c r="C132" i="2"/>
  <c r="J181" i="2" l="1"/>
  <c r="J10" i="2"/>
  <c r="C137" i="2"/>
  <c r="J301" i="2"/>
  <c r="C76" i="2"/>
  <c r="J239" i="2"/>
  <c r="AN187" i="2"/>
  <c r="AN210" i="2" s="1"/>
  <c r="AT222" i="2"/>
  <c r="AD219" i="2" s="1"/>
  <c r="AN209" i="2"/>
  <c r="AJ209" i="2" s="1"/>
  <c r="AG221" i="2"/>
  <c r="AG222" i="2" s="1"/>
  <c r="AD214" i="2"/>
  <c r="AG215" i="2" s="1"/>
  <c r="X263" i="2"/>
  <c r="Z262" i="2"/>
  <c r="Y262" i="2"/>
  <c r="Y324" i="2"/>
  <c r="X325" i="2"/>
  <c r="AA324" i="2"/>
  <c r="Z324" i="2"/>
  <c r="W218" i="2"/>
  <c r="AD216" i="2"/>
  <c r="AA195" i="2"/>
  <c r="AL186" i="2"/>
  <c r="AL187" i="2" s="1"/>
  <c r="AH195" i="2"/>
  <c r="AH196" i="2" s="1"/>
  <c r="AE196" i="2"/>
  <c r="AH199" i="2"/>
  <c r="Y191" i="2"/>
  <c r="C47" i="2"/>
  <c r="J67" i="2"/>
  <c r="C80" i="2"/>
  <c r="AG198" i="2"/>
  <c r="AG199" i="2" s="1"/>
  <c r="AT219" i="2"/>
  <c r="Z261" i="2"/>
  <c r="Y323" i="2"/>
  <c r="AO188" i="2"/>
  <c r="Z323" i="2"/>
  <c r="C50" i="2"/>
  <c r="AT188" i="2"/>
  <c r="AT217" i="2"/>
  <c r="C247" i="2"/>
  <c r="C309" i="2"/>
  <c r="AA323" i="2"/>
  <c r="C41" i="2"/>
  <c r="AT194" i="2"/>
  <c r="AE194" i="2" s="1"/>
  <c r="AG193" i="2"/>
  <c r="AG196" i="2" s="1"/>
  <c r="W195" i="2"/>
  <c r="C44" i="2"/>
  <c r="C136" i="2"/>
  <c r="C75" i="2"/>
  <c r="C43" i="2"/>
  <c r="C49" i="2"/>
  <c r="C246" i="2"/>
  <c r="C46" i="2"/>
  <c r="C308" i="2"/>
  <c r="C40" i="2"/>
  <c r="C79" i="2"/>
  <c r="AE84" i="2" l="1"/>
  <c r="AF93" i="2" s="1"/>
  <c r="AF94" i="2" s="1"/>
  <c r="AE147" i="2"/>
  <c r="AF154" i="2" s="1"/>
  <c r="AF155" i="2" s="1"/>
  <c r="AE90" i="2"/>
  <c r="AF97" i="2" s="1"/>
  <c r="AF98" i="2" s="1"/>
  <c r="AB309" i="2"/>
  <c r="AO189" i="2"/>
  <c r="AN188" i="2"/>
  <c r="AN211" i="2" s="1"/>
  <c r="AD217" i="2"/>
  <c r="AG216" i="2"/>
  <c r="AG219" i="2" s="1"/>
  <c r="Z263" i="2"/>
  <c r="Y263" i="2"/>
  <c r="X264" i="2"/>
  <c r="J46" i="2"/>
  <c r="AK186" i="2"/>
  <c r="AK209" i="2" s="1"/>
  <c r="AE217" i="2"/>
  <c r="AT223" i="2"/>
  <c r="AB247" i="2"/>
  <c r="W214" i="2"/>
  <c r="AG218" i="2"/>
  <c r="AT226" i="2"/>
  <c r="AD215" i="2" s="1"/>
  <c r="AD218" i="2"/>
  <c r="AG224" i="2"/>
  <c r="AG225" i="2" s="1"/>
  <c r="AL188" i="2"/>
  <c r="AK187" i="2"/>
  <c r="AE191" i="2"/>
  <c r="AH192" i="2" s="1"/>
  <c r="AT211" i="2"/>
  <c r="AH198" i="2"/>
  <c r="AT191" i="2"/>
  <c r="AE193" i="2" s="1"/>
  <c r="X326" i="2"/>
  <c r="AA325" i="2"/>
  <c r="Z325" i="2"/>
  <c r="Y325" i="2"/>
  <c r="AT214" i="2" l="1"/>
  <c r="AE216" i="2" s="1"/>
  <c r="AE214" i="2"/>
  <c r="AH215" i="2" s="1"/>
  <c r="AH221" i="2"/>
  <c r="AD247" i="2"/>
  <c r="AC247" i="2"/>
  <c r="AB251" i="2"/>
  <c r="AH193" i="2"/>
  <c r="Z195" i="2" s="1"/>
  <c r="X191" i="2"/>
  <c r="AA218" i="2"/>
  <c r="AL209" i="2"/>
  <c r="AL210" i="2" s="1"/>
  <c r="AL211" i="2" s="1"/>
  <c r="AL212" i="2" s="1"/>
  <c r="AL213" i="2" s="1"/>
  <c r="AL214" i="2" s="1"/>
  <c r="AL215" i="2" s="1"/>
  <c r="AL216" i="2" s="1"/>
  <c r="AL217" i="2" s="1"/>
  <c r="AL218" i="2" s="1"/>
  <c r="AL219" i="2" s="1"/>
  <c r="AL220" i="2" s="1"/>
  <c r="AL221" i="2" s="1"/>
  <c r="AL222" i="2" s="1"/>
  <c r="AL223" i="2" s="1"/>
  <c r="AL224" i="2" s="1"/>
  <c r="Y214" i="2"/>
  <c r="AH222" i="2"/>
  <c r="AH218" i="2"/>
  <c r="AH219" i="2" s="1"/>
  <c r="AE219" i="2"/>
  <c r="AK188" i="2"/>
  <c r="AL189" i="2"/>
  <c r="AN189" i="2"/>
  <c r="AN212" i="2" s="1"/>
  <c r="AO190" i="2"/>
  <c r="AK210" i="2"/>
  <c r="AJ210" i="2" s="1"/>
  <c r="AJ187" i="2"/>
  <c r="F74" i="2"/>
  <c r="AF81" i="2" s="1"/>
  <c r="AF77" i="2" s="1"/>
  <c r="F131" i="2"/>
  <c r="AF138" i="2" s="1"/>
  <c r="AF134" i="2" s="1"/>
  <c r="AB313" i="2"/>
  <c r="AC309" i="2"/>
  <c r="AE309" i="2"/>
  <c r="AD309" i="2"/>
  <c r="Y326" i="2"/>
  <c r="Z326" i="2"/>
  <c r="X327" i="2"/>
  <c r="AA326" i="2"/>
  <c r="X265" i="2"/>
  <c r="Z264" i="2"/>
  <c r="Y264" i="2"/>
  <c r="AF133" i="2" l="1"/>
  <c r="AF136" i="2"/>
  <c r="AF135" i="2"/>
  <c r="AG134" i="2"/>
  <c r="AB255" i="2"/>
  <c r="AB252" i="2"/>
  <c r="AB256" i="2" s="1"/>
  <c r="AF79" i="2"/>
  <c r="AF76" i="2"/>
  <c r="AF78" i="2"/>
  <c r="AG77" i="2"/>
  <c r="AC252" i="2"/>
  <c r="F271" i="2" s="1"/>
  <c r="AC253" i="2"/>
  <c r="AB317" i="2"/>
  <c r="AB321" i="2" s="1"/>
  <c r="AB314" i="2"/>
  <c r="AB318" i="2" s="1"/>
  <c r="AB322" i="2" s="1"/>
  <c r="AC256" i="2"/>
  <c r="F273" i="2" s="1"/>
  <c r="AC257" i="2"/>
  <c r="AK211" i="2"/>
  <c r="AJ211" i="2" s="1"/>
  <c r="AJ188" i="2"/>
  <c r="AL190" i="2"/>
  <c r="AK189" i="2"/>
  <c r="X328" i="2"/>
  <c r="AA327" i="2"/>
  <c r="Z327" i="2"/>
  <c r="Y327" i="2"/>
  <c r="AC318" i="2"/>
  <c r="F335" i="2" s="1"/>
  <c r="AC319" i="2"/>
  <c r="AN190" i="2"/>
  <c r="AN213" i="2" s="1"/>
  <c r="AO191" i="2"/>
  <c r="X214" i="2"/>
  <c r="AH216" i="2"/>
  <c r="Z218" i="2" s="1"/>
  <c r="AC315" i="2"/>
  <c r="AC314" i="2"/>
  <c r="F333" i="2" s="1"/>
  <c r="X266" i="2"/>
  <c r="Z265" i="2"/>
  <c r="Y265" i="2"/>
  <c r="AC322" i="2"/>
  <c r="AC323" i="2"/>
  <c r="F337" i="2" s="1"/>
  <c r="Y328" i="2" l="1"/>
  <c r="Z328" i="2"/>
  <c r="X329" i="2"/>
  <c r="AA328" i="2"/>
  <c r="AK212" i="2"/>
  <c r="AJ212" i="2" s="1"/>
  <c r="AJ189" i="2"/>
  <c r="AG136" i="2"/>
  <c r="AG133" i="2"/>
  <c r="AG135" i="2"/>
  <c r="AN191" i="2"/>
  <c r="AN214" i="2" s="1"/>
  <c r="AO192" i="2"/>
  <c r="AL191" i="2"/>
  <c r="AK190" i="2"/>
  <c r="AF147" i="2"/>
  <c r="AF141" i="2"/>
  <c r="AG79" i="2"/>
  <c r="AG78" i="2"/>
  <c r="AG76" i="2"/>
  <c r="Y266" i="2"/>
  <c r="X267" i="2"/>
  <c r="Z266" i="2"/>
  <c r="AF90" i="2"/>
  <c r="AF84" i="2"/>
  <c r="AK213" i="2" l="1"/>
  <c r="AJ213" i="2" s="1"/>
  <c r="AJ190" i="2"/>
  <c r="AO193" i="2"/>
  <c r="AN192" i="2"/>
  <c r="AN215" i="2" s="1"/>
  <c r="X330" i="2"/>
  <c r="AA329" i="2"/>
  <c r="Z329" i="2"/>
  <c r="Y329" i="2"/>
  <c r="X268" i="2"/>
  <c r="Z267" i="2"/>
  <c r="Y267" i="2"/>
  <c r="AL192" i="2"/>
  <c r="AK191" i="2"/>
  <c r="AG90" i="2"/>
  <c r="AF91" i="2" s="1"/>
  <c r="AG84" i="2"/>
  <c r="AF85" i="2" s="1"/>
  <c r="AG141" i="2"/>
  <c r="AF142" i="2" s="1"/>
  <c r="AG147" i="2"/>
  <c r="AF148" i="2" s="1"/>
  <c r="AG151" i="2" l="1"/>
  <c r="AG152" i="2" s="1"/>
  <c r="C160" i="2"/>
  <c r="C167" i="2" s="1"/>
  <c r="AT197" i="2" s="1"/>
  <c r="AG94" i="2"/>
  <c r="AG95" i="2" s="1"/>
  <c r="C103" i="2"/>
  <c r="C110" i="2" s="1"/>
  <c r="AT204" i="2" s="1"/>
  <c r="C163" i="2"/>
  <c r="C170" i="2" s="1"/>
  <c r="AT220" i="2" s="1"/>
  <c r="AG155" i="2"/>
  <c r="AG156" i="2" s="1"/>
  <c r="AK214" i="2"/>
  <c r="AJ214" i="2" s="1"/>
  <c r="AJ191" i="2"/>
  <c r="AG98" i="2"/>
  <c r="AG99" i="2" s="1"/>
  <c r="C106" i="2"/>
  <c r="C113" i="2" s="1"/>
  <c r="AT227" i="2" s="1"/>
  <c r="AO194" i="2"/>
  <c r="AN193" i="2"/>
  <c r="AN216" i="2" s="1"/>
  <c r="AK192" i="2"/>
  <c r="AL193" i="2"/>
  <c r="X269" i="2"/>
  <c r="Z268" i="2"/>
  <c r="Y268" i="2"/>
  <c r="Y330" i="2"/>
  <c r="Z330" i="2"/>
  <c r="X331" i="2"/>
  <c r="AA330" i="2"/>
  <c r="AH224" i="2" l="1"/>
  <c r="AE215" i="2"/>
  <c r="Y269" i="2"/>
  <c r="X270" i="2"/>
  <c r="Z269" i="2"/>
  <c r="AH202" i="2"/>
  <c r="AE195" i="2"/>
  <c r="AK193" i="2"/>
  <c r="AL194" i="2"/>
  <c r="AK215" i="2"/>
  <c r="AJ215" i="2" s="1"/>
  <c r="AJ192" i="2"/>
  <c r="AE218" i="2"/>
  <c r="AH225" i="2"/>
  <c r="X332" i="2"/>
  <c r="AA331" i="2"/>
  <c r="Z331" i="2"/>
  <c r="Y331" i="2"/>
  <c r="AH201" i="2"/>
  <c r="AE192" i="2"/>
  <c r="AO195" i="2"/>
  <c r="AN194" i="2"/>
  <c r="AN217" i="2" s="1"/>
  <c r="AK216" i="2" l="1"/>
  <c r="AJ216" i="2" s="1"/>
  <c r="AJ193" i="2"/>
  <c r="Y332" i="2"/>
  <c r="Z332" i="2"/>
  <c r="AA332" i="2"/>
  <c r="AN195" i="2"/>
  <c r="AN218" i="2" s="1"/>
  <c r="AO196" i="2"/>
  <c r="Z270" i="2"/>
  <c r="Y270" i="2"/>
  <c r="AL195" i="2"/>
  <c r="AK194" i="2"/>
  <c r="AO197" i="2" l="1"/>
  <c r="AN196" i="2"/>
  <c r="AN219" i="2" s="1"/>
  <c r="AK217" i="2"/>
  <c r="AJ217" i="2" s="1"/>
  <c r="AJ194" i="2"/>
  <c r="AL196" i="2"/>
  <c r="AK195" i="2"/>
  <c r="AO198" i="2" l="1"/>
  <c r="AN197" i="2"/>
  <c r="AN220" i="2" s="1"/>
  <c r="AK218" i="2"/>
  <c r="AJ218" i="2" s="1"/>
  <c r="AJ195" i="2"/>
  <c r="AL197" i="2"/>
  <c r="AK196" i="2"/>
  <c r="AK219" i="2" l="1"/>
  <c r="AJ219" i="2" s="1"/>
  <c r="AJ196" i="2"/>
  <c r="AL198" i="2"/>
  <c r="AK197" i="2"/>
  <c r="AO199" i="2"/>
  <c r="AN198" i="2"/>
  <c r="AN221" i="2" s="1"/>
  <c r="AN199" i="2" l="1"/>
  <c r="AN222" i="2" s="1"/>
  <c r="AO200" i="2"/>
  <c r="AK220" i="2"/>
  <c r="AJ220" i="2" s="1"/>
  <c r="AJ197" i="2"/>
  <c r="AL199" i="2"/>
  <c r="AK198" i="2"/>
  <c r="AK221" i="2" l="1"/>
  <c r="AJ221" i="2" s="1"/>
  <c r="AJ198" i="2"/>
  <c r="AL200" i="2"/>
  <c r="AK199" i="2"/>
  <c r="AO201" i="2"/>
  <c r="AN201" i="2" s="1"/>
  <c r="AN224" i="2" s="1"/>
  <c r="AN200" i="2"/>
  <c r="AN223" i="2" s="1"/>
  <c r="AK222" i="2" l="1"/>
  <c r="AJ222" i="2" s="1"/>
  <c r="AJ199" i="2"/>
  <c r="AL201" i="2"/>
  <c r="AK201" i="2" s="1"/>
  <c r="AK200" i="2"/>
  <c r="AK223" i="2" l="1"/>
  <c r="AJ223" i="2" s="1"/>
  <c r="AJ200" i="2"/>
  <c r="AK224" i="2"/>
  <c r="AJ224" i="2" s="1"/>
  <c r="AJ201" i="2"/>
</calcChain>
</file>

<file path=xl/sharedStrings.xml><?xml version="1.0" encoding="utf-8"?>
<sst xmlns="http://schemas.openxmlformats.org/spreadsheetml/2006/main" count="289" uniqueCount="123">
  <si>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</si>
  <si>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</si>
  <si>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</si>
  <si>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</si>
  <si>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</si>
  <si>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</si>
  <si>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</si>
  <si>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</si>
  <si>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</si>
  <si>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</si>
  <si>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</si>
  <si>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</si>
  <si>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</si>
  <si>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</si>
  <si>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</si>
  <si>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</si>
  <si>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</si>
  <si>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</si>
  <si>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</si>
  <si>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</si>
  <si>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</si>
  <si>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</si>
  <si>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</si>
  <si>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</si>
  <si>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</si>
  <si>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</si>
  <si>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</si>
  <si>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</si>
  <si>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</si>
  <si>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</si>
  <si>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</si>
  <si>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</si>
  <si>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</si>
  <si>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</si>
  <si>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</si>
  <si>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</si>
  <si>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</si>
  <si>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</si>
  <si>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</si>
  <si>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</si>
  <si>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05/03/2017</t>
  </si>
  <si>
    <t>IR</t>
  </si>
  <si>
    <t>Total Sub No:</t>
  </si>
  <si>
    <t>STANDARD SPREADSHEET METHOD</t>
  </si>
  <si>
    <t>Total Fig No:</t>
  </si>
  <si>
    <t>Total Table No:</t>
  </si>
  <si>
    <t>Document Number:</t>
  </si>
  <si>
    <t>Revision Level :</t>
  </si>
  <si>
    <t>Page:</t>
  </si>
  <si>
    <t>Title:</t>
  </si>
  <si>
    <t>(FAA, TITLE 14, CHAPTER 1, SUB CHAPTER C, PART 23)</t>
  </si>
  <si>
    <t>Definition of Terms</t>
  </si>
  <si>
    <t>W =</t>
  </si>
  <si>
    <t>lb (Aircraft Maximum Weight)</t>
  </si>
  <si>
    <t>Normal</t>
  </si>
  <si>
    <t>Utility</t>
  </si>
  <si>
    <t>Acrobatic</t>
  </si>
  <si>
    <t>S =</t>
  </si>
  <si>
    <t>ft² (Wing Area)</t>
  </si>
  <si>
    <t>W/S =</t>
  </si>
  <si>
    <t>lb/ft² (Wing Loading - Maximum)</t>
  </si>
  <si>
    <t>lb (Aircraft Minimum Weight)</t>
  </si>
  <si>
    <t>lb/ft² (Wing Loading - Minimum)</t>
  </si>
  <si>
    <t>n₁ =</t>
  </si>
  <si>
    <t>Airplane Positive Maneuvering Limit Load Factor</t>
  </si>
  <si>
    <t>n₂ =</t>
  </si>
  <si>
    <t>Airplane Negative Maneuvering Limit Load Factor.</t>
  </si>
  <si>
    <t>n₃ =</t>
  </si>
  <si>
    <r>
      <t>Airplane Positive Gust Limit Load Factor at V</t>
    </r>
    <r>
      <rPr>
        <vertAlign val="subscript"/>
        <sz val="10"/>
        <color theme="1"/>
        <rFont val="Calibri"/>
        <family val="2"/>
        <scheme val="minor"/>
      </rPr>
      <t>C</t>
    </r>
    <r>
      <rPr>
        <sz val="10"/>
        <color theme="1"/>
        <rFont val="Calibri"/>
        <family val="2"/>
        <scheme val="minor"/>
      </rPr>
      <t>.</t>
    </r>
  </si>
  <si>
    <t>n₄ =</t>
  </si>
  <si>
    <r>
      <t>Airplane Negative Gust Limit Load Factor at V</t>
    </r>
    <r>
      <rPr>
        <vertAlign val="subscript"/>
        <sz val="10"/>
        <color theme="1"/>
        <rFont val="Calibri"/>
        <family val="2"/>
        <scheme val="minor"/>
      </rPr>
      <t>C</t>
    </r>
    <r>
      <rPr>
        <sz val="10"/>
        <color theme="1"/>
        <rFont val="Calibri"/>
        <family val="2"/>
        <scheme val="minor"/>
      </rPr>
      <t>.</t>
    </r>
  </si>
  <si>
    <r>
      <t>n</t>
    </r>
    <r>
      <rPr>
        <vertAlign val="subscript"/>
        <sz val="10"/>
        <color theme="1"/>
        <rFont val="Calibri"/>
        <family val="2"/>
        <scheme val="minor"/>
      </rPr>
      <t>flap</t>
    </r>
    <r>
      <rPr>
        <sz val="10"/>
        <color theme="1"/>
        <rFont val="Calibri"/>
        <family val="2"/>
        <scheme val="minor"/>
      </rPr>
      <t xml:space="preserve"> =</t>
    </r>
  </si>
  <si>
    <r>
      <t>Airplane Positive Limit Load Factor With Flaps Fully Extended at V</t>
    </r>
    <r>
      <rPr>
        <vertAlign val="subscript"/>
        <sz val="10"/>
        <color theme="1"/>
        <rFont val="Calibri"/>
        <family val="2"/>
        <scheme val="minor"/>
      </rPr>
      <t>F</t>
    </r>
  </si>
  <si>
    <t>Select Aircraft Category:</t>
  </si>
  <si>
    <t>Determination of Minimum Design Speeds</t>
  </si>
  <si>
    <r>
      <t>V</t>
    </r>
    <r>
      <rPr>
        <vertAlign val="subscript"/>
        <sz val="10"/>
        <color theme="1"/>
        <rFont val="Calibri"/>
        <family val="2"/>
        <scheme val="minor"/>
      </rPr>
      <t>Fmin</t>
    </r>
    <r>
      <rPr>
        <sz val="10"/>
        <color theme="1"/>
        <rFont val="Calibri"/>
        <family val="2"/>
        <scheme val="minor"/>
      </rPr>
      <t xml:space="preserve"> =</t>
    </r>
  </si>
  <si>
    <r>
      <t>V</t>
    </r>
    <r>
      <rPr>
        <vertAlign val="subscript"/>
        <sz val="10"/>
        <color theme="1"/>
        <rFont val="Calibri"/>
        <family val="2"/>
        <scheme val="minor"/>
      </rPr>
      <t>Fsel</t>
    </r>
    <r>
      <rPr>
        <sz val="10"/>
        <color theme="1"/>
        <rFont val="Calibri"/>
        <family val="2"/>
        <scheme val="minor"/>
      </rPr>
      <t xml:space="preserve"> =</t>
    </r>
  </si>
  <si>
    <t>kts</t>
  </si>
  <si>
    <t>=</t>
  </si>
  <si>
    <r>
      <t>V</t>
    </r>
    <r>
      <rPr>
        <vertAlign val="subscript"/>
        <sz val="10"/>
        <color theme="1"/>
        <rFont val="Calibri"/>
        <family val="2"/>
        <scheme val="minor"/>
      </rPr>
      <t>Amin</t>
    </r>
    <r>
      <rPr>
        <sz val="10"/>
        <color theme="1"/>
        <rFont val="Calibri"/>
        <family val="2"/>
        <scheme val="minor"/>
      </rPr>
      <t xml:space="preserve"> =</t>
    </r>
  </si>
  <si>
    <r>
      <t>V</t>
    </r>
    <r>
      <rPr>
        <vertAlign val="subscript"/>
        <sz val="10"/>
        <color theme="1"/>
        <rFont val="Calibri"/>
        <family val="2"/>
        <scheme val="minor"/>
      </rPr>
      <t>Asel</t>
    </r>
    <r>
      <rPr>
        <sz val="10"/>
        <color theme="1"/>
        <rFont val="Calibri"/>
        <family val="2"/>
        <scheme val="minor"/>
      </rPr>
      <t xml:space="preserve"> =</t>
    </r>
  </si>
  <si>
    <r>
      <t>V</t>
    </r>
    <r>
      <rPr>
        <vertAlign val="subscript"/>
        <sz val="10"/>
        <color theme="1"/>
        <rFont val="Calibri"/>
        <family val="2"/>
        <scheme val="minor"/>
      </rPr>
      <t>Cmin</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</si>
  <si>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</si>
  <si>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 V</t>
    </r>
    <r>
      <rPr>
        <vertAlign val="subscript"/>
        <sz val="10"/>
        <color theme="1"/>
        <rFont val="Calibri"/>
        <family val="2"/>
        <scheme val="minor"/>
      </rPr>
      <t>Cmin</t>
    </r>
    <r>
      <rPr>
        <sz val="10"/>
        <color theme="1"/>
        <rFont val="Calibri"/>
        <family val="2"/>
        <scheme val="minor"/>
      </rPr>
      <t xml:space="preserve"> =</t>
    </r>
  </si>
  <si>
    <r>
      <t>V</t>
    </r>
    <r>
      <rPr>
        <vertAlign val="subscript"/>
        <sz val="10"/>
        <color theme="1"/>
        <rFont val="Calibri"/>
        <family val="2"/>
        <scheme val="minor"/>
      </rPr>
      <t>Dmin</t>
    </r>
    <r>
      <rPr>
        <sz val="10"/>
        <color theme="1"/>
        <rFont val="Calibri"/>
        <family val="2"/>
        <scheme val="minor"/>
      </rPr>
      <t xml:space="preserve"> =</t>
    </r>
  </si>
  <si>
    <r>
      <t>V</t>
    </r>
    <r>
      <rPr>
        <vertAlign val="subscript"/>
        <sz val="10"/>
        <color theme="1"/>
        <rFont val="Calibri"/>
        <family val="2"/>
        <scheme val="minor"/>
      </rPr>
      <t>Dsel</t>
    </r>
    <r>
      <rPr>
        <sz val="10"/>
        <color theme="1"/>
        <rFont val="Calibri"/>
        <family val="2"/>
        <scheme val="minor"/>
      </rPr>
      <t xml:space="preserve"> =</t>
    </r>
  </si>
  <si>
    <t>To display formula values or variables using the xln &amp; xlv functions, you need the XL-Viking add-in.</t>
  </si>
  <si>
    <t>The free version is available here:</t>
  </si>
  <si>
    <t>www.XL-Viking.com</t>
  </si>
  <si>
    <t>Determination of n₃ Factor</t>
  </si>
  <si>
    <t>Maximum Weight</t>
  </si>
  <si>
    <t>K =</t>
  </si>
  <si>
    <t>n₁ W/S =</t>
  </si>
  <si>
    <t>lb/ft²</t>
  </si>
  <si>
    <t>Minimum Weight</t>
  </si>
  <si>
    <r>
      <t>FAR 23 Figure A1 -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</si>
  <si>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n₃/n₁ =</t>
  </si>
  <si>
    <r>
      <t>FAR 23 Figure A2 -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</si>
  <si>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n₄/n₁ =</t>
  </si>
  <si>
    <t>Flight Envelope, Maximum Weight</t>
  </si>
  <si>
    <t>Point A:</t>
  </si>
  <si>
    <t>V =</t>
  </si>
  <si>
    <t>n =</t>
  </si>
  <si>
    <t>Point D:</t>
  </si>
  <si>
    <t>Point E:</t>
  </si>
  <si>
    <t>Point F:</t>
  </si>
  <si>
    <t>Point G:</t>
  </si>
  <si>
    <t>Point C:</t>
  </si>
  <si>
    <t>Flight Envelope, Minimum Weight</t>
  </si>
  <si>
    <t>Control Surface Loading</t>
  </si>
  <si>
    <t>FAR 23 Figure A5 - Average Limit Control Surface Loading</t>
  </si>
  <si>
    <t>(1)</t>
  </si>
  <si>
    <t>Average limit Vertcal Tail Loading =</t>
  </si>
  <si>
    <t>(2)</t>
  </si>
  <si>
    <t>Average limit Horizontal Tail Loading =</t>
  </si>
  <si>
    <t>(3)</t>
  </si>
  <si>
    <t>Average limit Tab Loading =</t>
  </si>
  <si>
    <t>(4)</t>
  </si>
  <si>
    <t>Average limit Flap Loading =</t>
  </si>
  <si>
    <t>(5)</t>
  </si>
  <si>
    <t>Average limit Aileron Loading =</t>
  </si>
  <si>
    <t>AA-SM-515-001</t>
  </si>
  <si>
    <t>SIMPLIFIED PART 23 AIRCRAFT LOADS - AIRCRAFT 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</si>
</sst>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0"/>
    <numFmt numFmtId="167" formatCode="0.0000"/>
  </numFmts>
  <fonts count="29"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rgb="FF0000FF"/>
      <name val="Calibri"/>
      <family val="2"/>
      <scheme val="minor"/>
    </font>
    <font>
      <i/>
      <sz val="10"/>
      <name val="Calibri"/>
      <family val="2"/>
      <scheme val="minor"/>
    </font>
    <font>
      <sz val="10"/>
      <name val="Calibri"/>
      <family val="2"/>
    </font>
    <font>
      <vertAlign val="subscript"/>
      <sz val="10"/>
      <color theme="1"/>
      <name val="Calibri"/>
      <family val="2"/>
      <scheme val="minor"/>
    </font>
    <font>
      <sz val="8"/>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b/>
      <vertAlign val="subscript"/>
      <sz val="10"/>
      <color theme="1"/>
      <name val="Calibri"/>
      <family val="2"/>
      <scheme val="minor"/>
    </font>
    <font>
      <sz val="9"/>
      <color rgb="FF595959"/>
      <name val="Arial"/>
      <family val="2"/>
    </font>
    <font>
      <sz val="10"/>
      <name val="Times New Roman"/>
      <family val="1"/>
    </font>
    <font>
      <b/>
      <sz val="10"/>
      <color rgb="FFFF0000"/>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34">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xf numFmtId="0" fontId="13"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0" fontId="13" fillId="0" borderId="0" xfId="1" applyFont="1"/>
    <xf numFmtId="0" fontId="14" fillId="0" borderId="0" xfId="1" applyFont="1"/>
    <xf numFmtId="0" fontId="13" fillId="0" borderId="0" xfId="1" applyFont="1" applyAlignment="1">
      <alignment horizontal="right"/>
    </xf>
    <xf numFmtId="164" fontId="2" fillId="0" borderId="0" xfId="1" applyNumberFormat="1" applyFont="1" applyAlignment="1">
      <alignment horizontal="center"/>
    </xf>
    <xf numFmtId="0" fontId="4" fillId="0" borderId="0" xfId="1" applyFont="1" applyAlignment="1">
      <alignment horizontal="center"/>
    </xf>
    <xf numFmtId="0" fontId="15" fillId="0" borderId="0" xfId="1" applyFont="1" applyAlignment="1">
      <alignment horizontal="right"/>
    </xf>
    <xf numFmtId="165" fontId="13" fillId="0" borderId="0" xfId="1" applyNumberFormat="1" applyFont="1" applyAlignment="1">
      <alignment horizontal="left"/>
    </xf>
    <xf numFmtId="0" fontId="15" fillId="0" borderId="0" xfId="1" applyFont="1"/>
    <xf numFmtId="2" fontId="15" fillId="0" borderId="0" xfId="1" applyNumberFormat="1" applyFont="1" applyAlignment="1">
      <alignment horizontal="right"/>
    </xf>
    <xf numFmtId="2" fontId="2" fillId="0" borderId="0" xfId="1" applyNumberFormat="1" applyFont="1" applyAlignment="1">
      <alignment horizontal="center"/>
    </xf>
    <xf numFmtId="0" fontId="2" fillId="0" borderId="0" xfId="1" applyFont="1" applyAlignment="1"/>
    <xf numFmtId="0" fontId="16" fillId="0" borderId="0" xfId="1" applyFont="1"/>
    <xf numFmtId="0" fontId="13" fillId="0" borderId="0" xfId="1" applyFont="1" applyBorder="1" applyAlignment="1">
      <alignment horizontal="right"/>
    </xf>
    <xf numFmtId="164" fontId="13" fillId="0" borderId="0" xfId="1" applyNumberFormat="1" applyFont="1" applyAlignment="1">
      <alignment horizontal="right"/>
    </xf>
    <xf numFmtId="0" fontId="13" fillId="0" borderId="0" xfId="1" applyFont="1" applyBorder="1" applyAlignment="1"/>
    <xf numFmtId="0" fontId="4" fillId="0" borderId="0" xfId="5" applyFont="1" applyAlignment="1">
      <alignment horizontal="center"/>
    </xf>
    <xf numFmtId="0" fontId="2" fillId="0" borderId="0" xfId="5" applyFont="1" applyAlignment="1"/>
    <xf numFmtId="2" fontId="2" fillId="0" borderId="0" xfId="1" applyNumberFormat="1" applyFont="1" applyAlignment="1">
      <alignment horizontal="right"/>
    </xf>
    <xf numFmtId="0" fontId="2" fillId="0" borderId="0" xfId="5" applyFont="1" applyAlignment="1">
      <alignment horizontal="center"/>
    </xf>
    <xf numFmtId="0" fontId="13" fillId="0" borderId="0" xfId="1" applyFont="1" applyAlignment="1"/>
    <xf numFmtId="2" fontId="13" fillId="0" borderId="0" xfId="1" applyNumberFormat="1" applyFont="1"/>
    <xf numFmtId="0" fontId="14" fillId="0" borderId="0" xfId="1" applyFont="1" applyAlignment="1">
      <alignment horizontal="center"/>
    </xf>
    <xf numFmtId="165" fontId="13" fillId="0" borderId="0" xfId="1" applyNumberFormat="1" applyFont="1" applyAlignment="1">
      <alignment horizontal="center"/>
    </xf>
    <xf numFmtId="1" fontId="19" fillId="0" borderId="0" xfId="1" applyNumberFormat="1" applyFont="1" applyAlignment="1">
      <alignment horizontal="center"/>
    </xf>
    <xf numFmtId="0" fontId="19" fillId="0" borderId="0" xfId="1" applyFont="1" applyAlignment="1">
      <alignment horizontal="center"/>
    </xf>
    <xf numFmtId="2" fontId="2" fillId="0" borderId="0" xfId="5" applyNumberFormat="1" applyFont="1" applyAlignment="1"/>
    <xf numFmtId="2" fontId="2" fillId="0" borderId="0" xfId="1" applyNumberFormat="1" applyFont="1"/>
    <xf numFmtId="0" fontId="2" fillId="0" borderId="0" xfId="1" applyFont="1" applyAlignment="1">
      <alignment horizontal="left"/>
    </xf>
    <xf numFmtId="166" fontId="19" fillId="0" borderId="0" xfId="1" applyNumberFormat="1" applyFont="1" applyAlignment="1">
      <alignment horizontal="center"/>
    </xf>
    <xf numFmtId="0" fontId="13" fillId="0" borderId="0" xfId="1" applyFont="1" applyAlignment="1">
      <alignment horizontal="left"/>
    </xf>
    <xf numFmtId="164" fontId="13" fillId="0" borderId="0" xfId="1" applyNumberFormat="1" applyFont="1" applyAlignment="1">
      <alignment horizontal="center"/>
    </xf>
    <xf numFmtId="164" fontId="15" fillId="0" borderId="0" xfId="1" applyNumberFormat="1" applyFont="1" applyAlignment="1">
      <alignment horizontal="right"/>
    </xf>
    <xf numFmtId="164" fontId="13" fillId="0" borderId="0" xfId="1" applyNumberFormat="1" applyFont="1" applyFill="1" applyAlignment="1">
      <alignment horizontal="left"/>
    </xf>
    <xf numFmtId="164" fontId="13" fillId="0" borderId="0" xfId="1" applyNumberFormat="1" applyFont="1"/>
    <xf numFmtId="1" fontId="13" fillId="0" borderId="0" xfId="1" applyNumberFormat="1" applyFont="1" applyAlignment="1">
      <alignment horizontal="right"/>
    </xf>
    <xf numFmtId="0" fontId="13" fillId="0" borderId="0" xfId="1" applyFont="1" applyAlignment="1">
      <alignment horizontal="center"/>
    </xf>
    <xf numFmtId="2" fontId="13" fillId="0" borderId="0" xfId="1" applyNumberFormat="1" applyFont="1" applyAlignment="1">
      <alignment horizontal="left"/>
    </xf>
    <xf numFmtId="166" fontId="19" fillId="0" borderId="0" xfId="5" applyNumberFormat="1" applyFont="1" applyAlignment="1">
      <alignment horizontal="center"/>
    </xf>
    <xf numFmtId="166" fontId="13" fillId="0" borderId="0" xfId="1" applyNumberFormat="1" applyFont="1" applyAlignment="1">
      <alignment horizontal="right"/>
    </xf>
    <xf numFmtId="0" fontId="13" fillId="0" borderId="0" xfId="1" applyFont="1" applyAlignment="1" applyProtection="1">
      <alignment horizontal="center"/>
    </xf>
    <xf numFmtId="1" fontId="13" fillId="0" borderId="0" xfId="1" applyNumberFormat="1" applyFont="1"/>
    <xf numFmtId="1" fontId="2" fillId="0" borderId="0" xfId="1" applyNumberFormat="1" applyFont="1" applyAlignment="1">
      <alignment horizontal="center"/>
    </xf>
    <xf numFmtId="165" fontId="2" fillId="0" borderId="0" xfId="1" applyNumberFormat="1" applyFont="1" applyAlignment="1">
      <alignment horizontal="center"/>
    </xf>
    <xf numFmtId="164" fontId="2" fillId="0" borderId="0" xfId="5" applyNumberFormat="1" applyFont="1" applyAlignment="1">
      <alignment horizontal="center"/>
    </xf>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20" fillId="0" borderId="0" xfId="1" applyFont="1" applyAlignment="1">
      <alignment horizontal="centerContinuous"/>
    </xf>
    <xf numFmtId="0" fontId="21" fillId="0" borderId="0" xfId="1" applyFont="1" applyAlignment="1">
      <alignment horizontal="centerContinuous"/>
    </xf>
    <xf numFmtId="0" fontId="22" fillId="0" borderId="0" xfId="1" applyFont="1" applyBorder="1" applyAlignment="1" applyProtection="1">
      <alignment horizontal="centerContinuous"/>
      <protection locked="0"/>
    </xf>
    <xf numFmtId="0" fontId="20" fillId="0" borderId="0" xfId="1" applyFont="1"/>
    <xf numFmtId="0" fontId="20" fillId="0" borderId="0" xfId="1" applyFont="1" applyBorder="1" applyProtection="1">
      <protection locked="0"/>
    </xf>
    <xf numFmtId="0" fontId="23" fillId="0" borderId="0" xfId="1" applyFont="1" applyBorder="1" applyAlignment="1" applyProtection="1">
      <alignment horizontal="right"/>
      <protection locked="0"/>
    </xf>
    <xf numFmtId="0" fontId="24" fillId="0" borderId="0" xfId="4" applyFont="1" applyBorder="1" applyAlignment="1" applyProtection="1">
      <alignment horizontal="left"/>
      <protection locked="0"/>
    </xf>
    <xf numFmtId="0" fontId="21" fillId="0" borderId="0" xfId="1" applyFont="1"/>
    <xf numFmtId="0" fontId="21" fillId="0" borderId="0" xfId="1" applyFont="1" applyBorder="1" applyProtection="1">
      <protection locked="0"/>
    </xf>
    <xf numFmtId="0" fontId="22" fillId="0" borderId="0" xfId="1" applyFont="1" applyBorder="1" applyProtection="1">
      <protection locked="0"/>
    </xf>
    <xf numFmtId="164" fontId="4" fillId="0" borderId="0" xfId="1" applyNumberFormat="1" applyFont="1" applyBorder="1" applyAlignment="1">
      <alignment horizontal="center"/>
    </xf>
    <xf numFmtId="164" fontId="4" fillId="0" borderId="0" xfId="1" applyNumberFormat="1" applyFont="1" applyAlignment="1">
      <alignment horizontal="center"/>
    </xf>
    <xf numFmtId="0" fontId="14" fillId="0" borderId="0" xfId="1" applyFont="1" applyBorder="1" applyAlignment="1"/>
    <xf numFmtId="2" fontId="26" fillId="0" borderId="0" xfId="1" applyNumberFormat="1" applyFont="1" applyAlignment="1">
      <alignment horizontal="center" vertical="center" readingOrder="1"/>
    </xf>
    <xf numFmtId="164" fontId="13" fillId="0" borderId="0" xfId="1" applyNumberFormat="1" applyFont="1" applyAlignment="1" applyProtection="1">
      <alignment horizontal="center"/>
    </xf>
    <xf numFmtId="1" fontId="13" fillId="0" borderId="0" xfId="1" applyNumberFormat="1" applyFont="1" applyAlignment="1">
      <alignment horizontal="center"/>
    </xf>
    <xf numFmtId="164" fontId="13" fillId="0" borderId="0" xfId="1" applyNumberFormat="1" applyFont="1" applyFill="1" applyAlignment="1">
      <alignment horizontal="center"/>
    </xf>
    <xf numFmtId="0" fontId="13" fillId="0" borderId="0" xfId="1" applyFont="1" applyAlignment="1">
      <alignment vertical="top"/>
    </xf>
    <xf numFmtId="167" fontId="13" fillId="0" borderId="0" xfId="1" applyNumberFormat="1" applyFont="1"/>
    <xf numFmtId="2" fontId="13" fillId="0" borderId="0" xfId="1" applyNumberFormat="1" applyFont="1" applyAlignment="1">
      <alignment vertical="top"/>
    </xf>
    <xf numFmtId="2" fontId="13" fillId="0" borderId="0" xfId="1" quotePrefix="1" applyNumberFormat="1" applyFont="1" applyAlignment="1">
      <alignment horizontal="right"/>
    </xf>
    <xf numFmtId="0" fontId="14" fillId="0" borderId="0" xfId="1" applyFont="1" applyAlignment="1">
      <alignment horizontal="right"/>
    </xf>
    <xf numFmtId="0" fontId="27" fillId="0" borderId="0" xfId="1" applyFont="1"/>
    <xf numFmtId="164" fontId="27" fillId="0" borderId="0" xfId="1" applyNumberFormat="1" applyFont="1"/>
    <xf numFmtId="0" fontId="27" fillId="0" borderId="0" xfId="1" applyFont="1" applyAlignment="1">
      <alignment horizontal="right"/>
    </xf>
    <xf numFmtId="0" fontId="27" fillId="0" borderId="0" xfId="1" quotePrefix="1" applyFont="1"/>
    <xf numFmtId="2" fontId="27" fillId="0" borderId="0" xfId="1" applyNumberFormat="1" applyFont="1"/>
    <xf numFmtId="2" fontId="28" fillId="0" borderId="0" xfId="1" applyNumberFormat="1" applyFont="1"/>
    <xf numFmtId="164" fontId="27" fillId="0" borderId="0" xfId="1" applyNumberFormat="1" applyFont="1" applyAlignment="1">
      <alignment horizontal="left"/>
    </xf>
    <xf numFmtId="2" fontId="27" fillId="0" borderId="0" xfId="1" applyNumberFormat="1" applyFont="1" applyAlignment="1">
      <alignment horizontal="right"/>
    </xf>
    <xf numFmtId="0" fontId="14" fillId="0" borderId="0" xfId="1" quotePrefix="1" applyFont="1" applyAlignment="1">
      <alignment horizontal="right"/>
    </xf>
    <xf numFmtId="2" fontId="13" fillId="0" borderId="0" xfId="1" applyNumberFormat="1" applyFont="1" applyAlignment="1">
      <alignment horizontal="right"/>
    </xf>
    <xf numFmtId="164" fontId="13" fillId="0" borderId="0" xfId="1" applyNumberFormat="1" applyFont="1" applyAlignment="1">
      <alignment vertical="top"/>
    </xf>
    <xf numFmtId="164" fontId="13" fillId="0" borderId="0" xfId="1" quotePrefix="1" applyNumberFormat="1" applyFont="1" applyAlignment="1">
      <alignment horizontal="right"/>
    </xf>
    <xf numFmtId="0" fontId="4" fillId="0" borderId="0" xfId="1" quotePrefix="1" applyFont="1" applyAlignment="1">
      <alignment horizontal="right"/>
    </xf>
    <xf numFmtId="1" fontId="14" fillId="0" borderId="0" xfId="1" quotePrefix="1" applyNumberFormat="1" applyFont="1" applyAlignment="1">
      <alignment horizontal="right"/>
    </xf>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Analysis!$X$82:$X$104</c:f>
              <c:numCache>
                <c:formatCode>0.00</c:formatCode>
                <c:ptCount val="23"/>
                <c:pt idx="1">
                  <c:v>1.9177454023549534</c:v>
                </c:pt>
                <c:pt idx="2">
                  <c:v>1.7869156923480813</c:v>
                </c:pt>
                <c:pt idx="3">
                  <c:v>1.6950547256132058</c:v>
                </c:pt>
                <c:pt idx="4">
                  <c:v>1.6251078466709674</c:v>
                </c:pt>
                <c:pt idx="5">
                  <c:v>1.5690852762615055</c:v>
                </c:pt>
                <c:pt idx="6">
                  <c:v>1.5226338720264994</c:v>
                </c:pt>
                <c:pt idx="7">
                  <c:v>1.4831339545270961</c:v>
                </c:pt>
                <c:pt idx="8">
                  <c:v>1.41875890109488</c:v>
                </c:pt>
                <c:pt idx="9">
                  <c:v>1.3677516561618366</c:v>
                </c:pt>
                <c:pt idx="10">
                  <c:v>1.3257788045080106</c:v>
                </c:pt>
                <c:pt idx="11">
                  <c:v>1.2902881946679121</c:v>
                </c:pt>
                <c:pt idx="12">
                  <c:v>1.2596569555492649</c:v>
                </c:pt>
                <c:pt idx="13">
                  <c:v>1.2327926636507454</c:v>
                </c:pt>
                <c:pt idx="14">
                  <c:v>1.2089268499329702</c:v>
                </c:pt>
                <c:pt idx="15">
                  <c:v>1.1874996063668501</c:v>
                </c:pt>
                <c:pt idx="16">
                  <c:v>1.1680911096525677</c:v>
                </c:pt>
                <c:pt idx="17">
                  <c:v>1.1380540497724598</c:v>
                </c:pt>
                <c:pt idx="18">
                  <c:v>1.111985034970159</c:v>
                </c:pt>
                <c:pt idx="19">
                  <c:v>1.0890203367482558</c:v>
                </c:pt>
                <c:pt idx="20">
                  <c:v>1.0577832282237565</c:v>
                </c:pt>
                <c:pt idx="21">
                  <c:v>1.0333624923345925</c:v>
                </c:pt>
                <c:pt idx="22">
                  <c:v>1.0118704152719968</c:v>
                </c:pt>
              </c:numCache>
            </c:numRef>
          </c:yVal>
          <c:smooth val="1"/>
          <c:extLst>
            <c:ext xmlns:c16="http://schemas.microsoft.com/office/drawing/2014/chart" uri="{C3380CC4-5D6E-409C-BE32-E72D297353CC}">
              <c16:uniqueId val="{00000000-24BE-4CC9-9C81-DB8D00F0407D}"/>
            </c:ext>
          </c:extLst>
        </c:ser>
        <c:ser>
          <c:idx val="1"/>
          <c:order val="1"/>
          <c:spPr>
            <a:ln w="19050" cap="rnd">
              <a:solidFill>
                <a:schemeClr val="tx1"/>
              </a:solidFill>
              <a:round/>
            </a:ln>
            <a:effectLst/>
          </c:spPr>
          <c:marker>
            <c:symbol val="none"/>
          </c:marker>
          <c:xVal>
            <c:numRef>
              <c:f>Analysis!$W$83:$W$104</c:f>
              <c:numCache>
                <c:formatCode>0.0</c:formatCode>
                <c:ptCount val="22"/>
                <c:pt idx="0">
                  <c:v>5</c:v>
                </c:pt>
                <c:pt idx="1">
                  <c:v>7</c:v>
                </c:pt>
                <c:pt idx="2">
                  <c:v>9</c:v>
                </c:pt>
                <c:pt idx="3">
                  <c:v>11</c:v>
                </c:pt>
                <c:pt idx="4">
                  <c:v>13</c:v>
                </c:pt>
                <c:pt idx="5">
                  <c:v>15</c:v>
                </c:pt>
                <c:pt idx="6">
                  <c:v>17</c:v>
                </c:pt>
                <c:pt idx="7">
                  <c:v>21</c:v>
                </c:pt>
                <c:pt idx="8">
                  <c:v>25</c:v>
                </c:pt>
                <c:pt idx="9">
                  <c:v>29</c:v>
                </c:pt>
                <c:pt idx="10">
                  <c:v>33</c:v>
                </c:pt>
                <c:pt idx="11">
                  <c:v>37</c:v>
                </c:pt>
                <c:pt idx="12">
                  <c:v>41</c:v>
                </c:pt>
                <c:pt idx="13">
                  <c:v>45</c:v>
                </c:pt>
                <c:pt idx="14">
                  <c:v>49</c:v>
                </c:pt>
                <c:pt idx="15">
                  <c:v>53</c:v>
                </c:pt>
                <c:pt idx="16">
                  <c:v>60</c:v>
                </c:pt>
                <c:pt idx="17">
                  <c:v>67</c:v>
                </c:pt>
                <c:pt idx="18">
                  <c:v>74</c:v>
                </c:pt>
                <c:pt idx="19">
                  <c:v>85</c:v>
                </c:pt>
                <c:pt idx="20">
                  <c:v>95</c:v>
                </c:pt>
                <c:pt idx="21">
                  <c:v>105</c:v>
                </c:pt>
              </c:numCache>
            </c:numRef>
          </c:xVal>
          <c:yVal>
            <c:numRef>
              <c:f>Analysis!$Y$83:$Y$104</c:f>
              <c:numCache>
                <c:formatCode>0.00</c:formatCode>
                <c:ptCount val="22"/>
                <c:pt idx="0">
                  <c:v>1.7930359227956436</c:v>
                </c:pt>
                <c:pt idx="1">
                  <c:v>1.6712762096790972</c:v>
                </c:pt>
                <c:pt idx="2">
                  <c:v>1.5857584599172345</c:v>
                </c:pt>
                <c:pt idx="3">
                  <c:v>1.5206268347464533</c:v>
                </c:pt>
                <c:pt idx="4">
                  <c:v>1.4684513432006499</c:v>
                </c:pt>
                <c:pt idx="5">
                  <c:v>1.4251830492904716</c:v>
                </c:pt>
                <c:pt idx="6">
                  <c:v>1.3883849487571391</c:v>
                </c:pt>
                <c:pt idx="7">
                  <c:v>1.328403125913582</c:v>
                </c:pt>
                <c:pt idx="8">
                  <c:v>1.2808676575440741</c:v>
                </c:pt>
                <c:pt idx="9">
                  <c:v>1.2417453430379408</c:v>
                </c:pt>
                <c:pt idx="10">
                  <c:v>1.2086604410010284</c:v>
                </c:pt>
                <c:pt idx="11">
                  <c:v>1.1801020401013891</c:v>
                </c:pt>
                <c:pt idx="12">
                  <c:v>1.1550529547630946</c:v>
                </c:pt>
                <c:pt idx="13">
                  <c:v>1.1327975631508758</c:v>
                </c:pt>
                <c:pt idx="14">
                  <c:v>1.1128144099758284</c:v>
                </c:pt>
                <c:pt idx="15">
                  <c:v>1.0947124687947876</c:v>
                </c:pt>
                <c:pt idx="16">
                  <c:v>1.066694633435104</c:v>
                </c:pt>
                <c:pt idx="17">
                  <c:v>1.0423752421082668</c:v>
                </c:pt>
                <c:pt idx="18">
                  <c:v>1.0209495735259089</c:v>
                </c:pt>
                <c:pt idx="19">
                  <c:v>0.99180242541447805</c:v>
                </c:pt>
                <c:pt idx="20">
                  <c:v>0.96901274232772328</c:v>
                </c:pt>
                <c:pt idx="21">
                  <c:v>0.94895399391118629</c:v>
                </c:pt>
              </c:numCache>
            </c:numRef>
          </c:yVal>
          <c:smooth val="1"/>
          <c:extLst>
            <c:ext xmlns:c16="http://schemas.microsoft.com/office/drawing/2014/chart" uri="{C3380CC4-5D6E-409C-BE32-E72D297353CC}">
              <c16:uniqueId val="{00000001-24BE-4CC9-9C81-DB8D00F0407D}"/>
            </c:ext>
          </c:extLst>
        </c:ser>
        <c:ser>
          <c:idx val="2"/>
          <c:order val="2"/>
          <c:spPr>
            <a:ln w="190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Analysis!$Z$82:$Z$104</c:f>
              <c:numCache>
                <c:formatCode>0.00</c:formatCode>
                <c:ptCount val="23"/>
                <c:pt idx="1">
                  <c:v>1.7001695204197738</c:v>
                </c:pt>
                <c:pt idx="2">
                  <c:v>1.5847160872654389</c:v>
                </c:pt>
                <c:pt idx="3">
                  <c:v>1.5036275436665412</c:v>
                </c:pt>
                <c:pt idx="4">
                  <c:v>1.4418692696002227</c:v>
                </c:pt>
                <c:pt idx="5">
                  <c:v>1.3923960943496203</c:v>
                </c:pt>
                <c:pt idx="6">
                  <c:v>1.3513687877734353</c:v>
                </c:pt>
                <c:pt idx="7">
                  <c:v>1.3164765649569687</c:v>
                </c:pt>
                <c:pt idx="8">
                  <c:v>1.2596013703881774</c:v>
                </c:pt>
                <c:pt idx="9">
                  <c:v>1.2145278983884049</c:v>
                </c:pt>
                <c:pt idx="10">
                  <c:v>1.1774318392152587</c:v>
                </c:pt>
                <c:pt idx="11">
                  <c:v>1.1460604978416127</c:v>
                </c:pt>
                <c:pt idx="12">
                  <c:v>1.1189812173072933</c:v>
                </c:pt>
                <c:pt idx="13">
                  <c:v>1.0952294949546475</c:v>
                </c:pt>
                <c:pt idx="14">
                  <c:v>1.0741267730275237</c:v>
                </c:pt>
                <c:pt idx="15">
                  <c:v>1.0551786038814628</c:v>
                </c:pt>
                <c:pt idx="16">
                  <c:v>1.0380142134388821</c:v>
                </c:pt>
                <c:pt idx="17">
                  <c:v>1.0114475010261146</c:v>
                </c:pt>
                <c:pt idx="18">
                  <c:v>0.98838767976799802</c:v>
                </c:pt>
                <c:pt idx="19">
                  <c:v>0.96807170716799329</c:v>
                </c:pt>
                <c:pt idx="20">
                  <c:v>0.94043417230536175</c:v>
                </c:pt>
                <c:pt idx="21">
                  <c:v>0.91882483137051052</c:v>
                </c:pt>
                <c:pt idx="22">
                  <c:v>0.89980498227435191</c:v>
                </c:pt>
              </c:numCache>
            </c:numRef>
          </c:yVal>
          <c:smooth val="1"/>
          <c:extLst>
            <c:ext xmlns:c16="http://schemas.microsoft.com/office/drawing/2014/chart" uri="{C3380CC4-5D6E-409C-BE32-E72D297353CC}">
              <c16:uniqueId val="{00000002-24BE-4CC9-9C81-DB8D00F0407D}"/>
            </c:ext>
          </c:extLst>
        </c:ser>
        <c:ser>
          <c:idx val="3"/>
          <c:order val="3"/>
          <c:spPr>
            <a:ln w="190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Analysis!$AA$82:$AA$104</c:f>
              <c:numCache>
                <c:formatCode>0.00</c:formatCode>
                <c:ptCount val="23"/>
                <c:pt idx="1">
                  <c:v>1.5787288403897899</c:v>
                </c:pt>
                <c:pt idx="2">
                  <c:v>1.4715220810321934</c:v>
                </c:pt>
                <c:pt idx="3">
                  <c:v>1.3962255762617883</c:v>
                </c:pt>
                <c:pt idx="4">
                  <c:v>1.3388786074859211</c:v>
                </c:pt>
                <c:pt idx="5">
                  <c:v>1.2929392304675045</c:v>
                </c:pt>
                <c:pt idx="6">
                  <c:v>1.2548424457896183</c:v>
                </c:pt>
                <c:pt idx="7">
                  <c:v>1.2224425246028996</c:v>
                </c:pt>
                <c:pt idx="8">
                  <c:v>1.1696298439318791</c:v>
                </c:pt>
                <c:pt idx="9">
                  <c:v>1.1277759056463761</c:v>
                </c:pt>
                <c:pt idx="10">
                  <c:v>1.0933295649855974</c:v>
                </c:pt>
                <c:pt idx="11">
                  <c:v>1.0641990337100689</c:v>
                </c:pt>
                <c:pt idx="12">
                  <c:v>1.0390539874996296</c:v>
                </c:pt>
                <c:pt idx="13">
                  <c:v>1.0169988167436013</c:v>
                </c:pt>
                <c:pt idx="14">
                  <c:v>0.99740343209698634</c:v>
                </c:pt>
                <c:pt idx="15">
                  <c:v>0.97980870360421557</c:v>
                </c:pt>
                <c:pt idx="16">
                  <c:v>0.9638703410503906</c:v>
                </c:pt>
                <c:pt idx="17">
                  <c:v>0.93920125095282081</c:v>
                </c:pt>
                <c:pt idx="18">
                  <c:v>0.91778855978456964</c:v>
                </c:pt>
                <c:pt idx="19">
                  <c:v>0.89892372808456522</c:v>
                </c:pt>
                <c:pt idx="20">
                  <c:v>0.8732603028549788</c:v>
                </c:pt>
                <c:pt idx="21">
                  <c:v>0.85319448627261696</c:v>
                </c:pt>
                <c:pt idx="22">
                  <c:v>0.83553319782618396</c:v>
                </c:pt>
              </c:numCache>
            </c:numRef>
          </c:yVal>
          <c:smooth val="1"/>
          <c:extLst>
            <c:ext xmlns:c16="http://schemas.microsoft.com/office/drawing/2014/chart" uri="{C3380CC4-5D6E-409C-BE32-E72D297353CC}">
              <c16:uniqueId val="{00000003-24BE-4CC9-9C81-DB8D00F0407D}"/>
            </c:ext>
          </c:extLst>
        </c:ser>
        <c:ser>
          <c:idx val="4"/>
          <c:order val="4"/>
          <c:spPr>
            <a:ln w="190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Analysis!$AB$82:$AB$104</c:f>
              <c:numCache>
                <c:formatCode>0.00</c:formatCode>
                <c:ptCount val="23"/>
                <c:pt idx="1">
                  <c:v>1.48586243801392</c:v>
                </c:pt>
                <c:pt idx="2">
                  <c:v>1.3849619586185349</c:v>
                </c:pt>
                <c:pt idx="3">
                  <c:v>1.314094660011095</c:v>
                </c:pt>
                <c:pt idx="4">
                  <c:v>1.2601210423396905</c:v>
                </c:pt>
                <c:pt idx="5">
                  <c:v>1.2168839816164749</c:v>
                </c:pt>
                <c:pt idx="6">
                  <c:v>1.181028184272582</c:v>
                </c:pt>
                <c:pt idx="7">
                  <c:v>1.150534140802729</c:v>
                </c:pt>
                <c:pt idx="8">
                  <c:v>1.1008280884064745</c:v>
                </c:pt>
                <c:pt idx="9">
                  <c:v>1.0614361464907069</c:v>
                </c:pt>
                <c:pt idx="10">
                  <c:v>1.0290160611629153</c:v>
                </c:pt>
                <c:pt idx="11">
                  <c:v>1.0015990905506531</c:v>
                </c:pt>
                <c:pt idx="12">
                  <c:v>0.97793316470553371</c:v>
                </c:pt>
                <c:pt idx="13">
                  <c:v>0.9571753569351541</c:v>
                </c:pt>
                <c:pt idx="14">
                  <c:v>0.93873264197363415</c:v>
                </c:pt>
                <c:pt idx="15">
                  <c:v>0.92217289750984999</c:v>
                </c:pt>
                <c:pt idx="16">
                  <c:v>0.90717208569448538</c:v>
                </c:pt>
                <c:pt idx="17">
                  <c:v>0.88395411854383132</c:v>
                </c:pt>
                <c:pt idx="18">
                  <c:v>0.86380099744430083</c:v>
                </c:pt>
                <c:pt idx="19">
                  <c:v>0.84604586172664964</c:v>
                </c:pt>
                <c:pt idx="20">
                  <c:v>0.82189204974586239</c:v>
                </c:pt>
                <c:pt idx="21">
                  <c:v>0.8030065753154042</c:v>
                </c:pt>
                <c:pt idx="22">
                  <c:v>0.78638418618934969</c:v>
                </c:pt>
              </c:numCache>
            </c:numRef>
          </c:yVal>
          <c:smooth val="1"/>
          <c:extLst>
            <c:ext xmlns:c16="http://schemas.microsoft.com/office/drawing/2014/chart" uri="{C3380CC4-5D6E-409C-BE32-E72D297353CC}">
              <c16:uniqueId val="{00000004-24BE-4CC9-9C81-DB8D00F0407D}"/>
            </c:ext>
          </c:extLst>
        </c:ser>
        <c:ser>
          <c:idx val="5"/>
          <c:order val="5"/>
          <c:spPr>
            <a:ln w="190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Analysis!$AC$82:$AC$104</c:f>
              <c:numCache>
                <c:formatCode>0.00</c:formatCode>
                <c:ptCount val="23"/>
                <c:pt idx="1">
                  <c:v>1.3715653273974644</c:v>
                </c:pt>
                <c:pt idx="2">
                  <c:v>1.2784264233401861</c:v>
                </c:pt>
                <c:pt idx="3">
                  <c:v>1.2130104553948566</c:v>
                </c:pt>
                <c:pt idx="4">
                  <c:v>1.1631886544674066</c:v>
                </c:pt>
                <c:pt idx="5">
                  <c:v>1.1232775214921307</c:v>
                </c:pt>
                <c:pt idx="6">
                  <c:v>1.0901798624054604</c:v>
                </c:pt>
                <c:pt idx="7">
                  <c:v>1.0620315145871344</c:v>
                </c:pt>
                <c:pt idx="8">
                  <c:v>1.0161490046828994</c:v>
                </c:pt>
                <c:pt idx="9">
                  <c:v>0.97978721214526787</c:v>
                </c:pt>
                <c:pt idx="10">
                  <c:v>0.9498609795349986</c:v>
                </c:pt>
                <c:pt idx="11">
                  <c:v>0.92455300666214124</c:v>
                </c:pt>
                <c:pt idx="12">
                  <c:v>0.90270753665126191</c:v>
                </c:pt>
                <c:pt idx="13">
                  <c:v>0.8835464833247576</c:v>
                </c:pt>
                <c:pt idx="14">
                  <c:v>0.8665224387448931</c:v>
                </c:pt>
                <c:pt idx="15">
                  <c:v>0.85123652077832301</c:v>
                </c:pt>
                <c:pt idx="16">
                  <c:v>0.83738961756414021</c:v>
                </c:pt>
                <c:pt idx="17">
                  <c:v>0.81595764788661351</c:v>
                </c:pt>
                <c:pt idx="18">
                  <c:v>0.79735476687166229</c:v>
                </c:pt>
                <c:pt idx="19">
                  <c:v>0.78096541082459969</c:v>
                </c:pt>
                <c:pt idx="20">
                  <c:v>0.75866958438079601</c:v>
                </c:pt>
                <c:pt idx="21">
                  <c:v>0.74123683875268076</c:v>
                </c:pt>
                <c:pt idx="22">
                  <c:v>0.72589309494401499</c:v>
                </c:pt>
              </c:numCache>
            </c:numRef>
          </c:yVal>
          <c:smooth val="1"/>
          <c:extLst>
            <c:ext xmlns:c16="http://schemas.microsoft.com/office/drawing/2014/chart" uri="{C3380CC4-5D6E-409C-BE32-E72D297353CC}">
              <c16:uniqueId val="{00000005-24BE-4CC9-9C81-DB8D00F0407D}"/>
            </c:ext>
          </c:extLst>
        </c:ser>
        <c:ser>
          <c:idx val="6"/>
          <c:order val="6"/>
          <c:spPr>
            <a:ln w="31750" cap="rnd">
              <a:solidFill>
                <a:schemeClr val="tx1"/>
              </a:solidFill>
              <a:round/>
            </a:ln>
            <a:effectLst/>
          </c:spPr>
          <c:marker>
            <c:symbol val="none"/>
          </c:marker>
          <c:xVal>
            <c:numRef>
              <c:f>Analysis!$W$82:$W$104</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Analysis!$AD$82:$AD$104</c:f>
              <c:numCache>
                <c:formatCode>General</c:formatCode>
                <c:ptCount val="23"/>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numCache>
            </c:numRef>
          </c:yVal>
          <c:smooth val="0"/>
          <c:extLst>
            <c:ext xmlns:c16="http://schemas.microsoft.com/office/drawing/2014/chart" uri="{C3380CC4-5D6E-409C-BE32-E72D297353CC}">
              <c16:uniqueId val="{00000006-24BE-4CC9-9C81-DB8D00F0407D}"/>
            </c:ext>
          </c:extLst>
        </c:ser>
        <c:ser>
          <c:idx val="7"/>
          <c:order val="7"/>
          <c:spPr>
            <a:ln w="22225" cap="rnd">
              <a:solidFill>
                <a:srgbClr val="FF0000"/>
              </a:solidFill>
              <a:round/>
            </a:ln>
            <a:effectLst/>
          </c:spPr>
          <c:marker>
            <c:symbol val="none"/>
          </c:marker>
          <c:xVal>
            <c:numRef>
              <c:f>Analysis!$AF$93:$AF$99</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Analysis!$AG$93:$AG$99</c:f>
              <c:numCache>
                <c:formatCode>0.000</c:formatCode>
                <c:ptCount val="7"/>
                <c:pt idx="0">
                  <c:v>0</c:v>
                </c:pt>
                <c:pt idx="1">
                  <c:v>1.09069964649039</c:v>
                </c:pt>
                <c:pt idx="2">
                  <c:v>1.09069964649039</c:v>
                </c:pt>
                <c:pt idx="4">
                  <c:v>0</c:v>
                </c:pt>
                <c:pt idx="5">
                  <c:v>1.1822540477800167</c:v>
                </c:pt>
                <c:pt idx="6">
                  <c:v>1.1822540477800167</c:v>
                </c:pt>
              </c:numCache>
            </c:numRef>
          </c:yVal>
          <c:smooth val="0"/>
          <c:extLst>
            <c:ext xmlns:c16="http://schemas.microsoft.com/office/drawing/2014/chart" uri="{C3380CC4-5D6E-409C-BE32-E72D297353CC}">
              <c16:uniqueId val="{00000007-24BE-4CC9-9C81-DB8D00F0407D}"/>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2"/>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3</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Analysis!$X$139:$X$161</c:f>
              <c:numCache>
                <c:formatCode>0.00</c:formatCode>
                <c:ptCount val="23"/>
                <c:pt idx="1">
                  <c:v>1.3742237015008811</c:v>
                </c:pt>
                <c:pt idx="2">
                  <c:v>1.2339468771401767</c:v>
                </c:pt>
                <c:pt idx="3">
                  <c:v>1.138597518597833</c:v>
                </c:pt>
                <c:pt idx="4">
                  <c:v>1.0677809704313193</c:v>
                </c:pt>
                <c:pt idx="5">
                  <c:v>1.0121991383646831</c:v>
                </c:pt>
                <c:pt idx="6">
                  <c:v>0.96689348318850965</c:v>
                </c:pt>
                <c:pt idx="7">
                  <c:v>0.92893255055070945</c:v>
                </c:pt>
                <c:pt idx="8">
                  <c:v>0.86819576230899731</c:v>
                </c:pt>
                <c:pt idx="9">
                  <c:v>0.82108294859425357</c:v>
                </c:pt>
                <c:pt idx="10">
                  <c:v>0.78299768258241931</c:v>
                </c:pt>
                <c:pt idx="11">
                  <c:v>0.75128267738007959</c:v>
                </c:pt>
                <c:pt idx="12">
                  <c:v>0.72427464898020477</c:v>
                </c:pt>
                <c:pt idx="13">
                  <c:v>0.70086924312612331</c:v>
                </c:pt>
                <c:pt idx="14">
                  <c:v>0.68029899849010123</c:v>
                </c:pt>
                <c:pt idx="15">
                  <c:v>0.6620108241756496</c:v>
                </c:pt>
                <c:pt idx="16">
                  <c:v>0.64559410739347756</c:v>
                </c:pt>
                <c:pt idx="17">
                  <c:v>0.62046806825446799</c:v>
                </c:pt>
                <c:pt idx="18">
                  <c:v>0.59894080111790404</c:v>
                </c:pt>
                <c:pt idx="19">
                  <c:v>0.58019460439983916</c:v>
                </c:pt>
                <c:pt idx="20">
                  <c:v>0.55502657741845662</c:v>
                </c:pt>
                <c:pt idx="21">
                  <c:v>0.53561937985188623</c:v>
                </c:pt>
                <c:pt idx="22">
                  <c:v>0.5187370409163693</c:v>
                </c:pt>
              </c:numCache>
            </c:numRef>
          </c:yVal>
          <c:smooth val="1"/>
          <c:extLst>
            <c:ext xmlns:c16="http://schemas.microsoft.com/office/drawing/2014/chart" uri="{C3380CC4-5D6E-409C-BE32-E72D297353CC}">
              <c16:uniqueId val="{00000000-6BA7-4A70-B11A-2FCF3BB18901}"/>
            </c:ext>
          </c:extLst>
        </c:ser>
        <c:ser>
          <c:idx val="6"/>
          <c:order val="1"/>
          <c:spPr>
            <a:ln w="317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Analysis!$AD$139:$AD$161</c:f>
              <c:numCache>
                <c:formatCode>General</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yVal>
          <c:smooth val="0"/>
          <c:extLst>
            <c:ext xmlns:c16="http://schemas.microsoft.com/office/drawing/2014/chart" uri="{C3380CC4-5D6E-409C-BE32-E72D297353CC}">
              <c16:uniqueId val="{00000001-6BA7-4A70-B11A-2FCF3BB18901}"/>
            </c:ext>
          </c:extLst>
        </c:ser>
        <c:ser>
          <c:idx val="7"/>
          <c:order val="2"/>
          <c:spPr>
            <a:ln w="22225" cap="rnd">
              <a:solidFill>
                <a:srgbClr val="FF0000"/>
              </a:solidFill>
              <a:round/>
            </a:ln>
            <a:effectLst/>
          </c:spPr>
          <c:marker>
            <c:symbol val="none"/>
          </c:marker>
          <c:xVal>
            <c:numRef>
              <c:f>Analysis!$AF$150:$AF$156</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Analysis!$AG$150:$AG$156</c:f>
              <c:numCache>
                <c:formatCode>0.000</c:formatCode>
                <c:ptCount val="7"/>
                <c:pt idx="0">
                  <c:v>0</c:v>
                </c:pt>
                <c:pt idx="1">
                  <c:v>0.5816914282866803</c:v>
                </c:pt>
                <c:pt idx="2">
                  <c:v>0.5816914282866803</c:v>
                </c:pt>
                <c:pt idx="4">
                  <c:v>0</c:v>
                </c:pt>
                <c:pt idx="5">
                  <c:v>0.65809685006484264</c:v>
                </c:pt>
                <c:pt idx="6">
                  <c:v>0.65809685006484264</c:v>
                </c:pt>
              </c:numCache>
            </c:numRef>
          </c:yVal>
          <c:smooth val="0"/>
          <c:extLst>
            <c:ext xmlns:c16="http://schemas.microsoft.com/office/drawing/2014/chart" uri="{C3380CC4-5D6E-409C-BE32-E72D297353CC}">
              <c16:uniqueId val="{00000002-6BA7-4A70-B11A-2FCF3BB18901}"/>
            </c:ext>
          </c:extLst>
        </c:ser>
        <c:ser>
          <c:idx val="1"/>
          <c:order val="3"/>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Analysis!$Y$139:$Y$161</c:f>
              <c:numCache>
                <c:formatCode>0.00</c:formatCode>
                <c:ptCount val="23"/>
                <c:pt idx="1">
                  <c:v>1.2547259883268915</c:v>
                </c:pt>
                <c:pt idx="2">
                  <c:v>1.1266471486932048</c:v>
                </c:pt>
                <c:pt idx="3">
                  <c:v>1.0395890387197606</c:v>
                </c:pt>
                <c:pt idx="4">
                  <c:v>0.97493045126337852</c:v>
                </c:pt>
                <c:pt idx="5">
                  <c:v>0.92418182198514554</c:v>
                </c:pt>
                <c:pt idx="6">
                  <c:v>0.88281578899820456</c:v>
                </c:pt>
                <c:pt idx="7">
                  <c:v>0.84815580702456095</c:v>
                </c:pt>
                <c:pt idx="8">
                  <c:v>0.79270047862995408</c:v>
                </c:pt>
                <c:pt idx="9">
                  <c:v>0.74968443132518814</c:v>
                </c:pt>
                <c:pt idx="10">
                  <c:v>0.71491092757525243</c:v>
                </c:pt>
                <c:pt idx="11">
                  <c:v>0.6859537489122467</c:v>
                </c:pt>
                <c:pt idx="12">
                  <c:v>0.66129424472105669</c:v>
                </c:pt>
                <c:pt idx="13">
                  <c:v>0.63992409154993879</c:v>
                </c:pt>
                <c:pt idx="14">
                  <c:v>0.62114256383878808</c:v>
                </c:pt>
                <c:pt idx="15">
                  <c:v>0.60444466555168008</c:v>
                </c:pt>
                <c:pt idx="16">
                  <c:v>0.58945548935926229</c:v>
                </c:pt>
                <c:pt idx="17">
                  <c:v>0.56651432318886219</c:v>
                </c:pt>
                <c:pt idx="18">
                  <c:v>0.54685899232504287</c:v>
                </c:pt>
                <c:pt idx="19">
                  <c:v>0.52974289966941845</c:v>
                </c:pt>
                <c:pt idx="20">
                  <c:v>0.50676339677337356</c:v>
                </c:pt>
                <c:pt idx="21">
                  <c:v>0.48904378160389622</c:v>
                </c:pt>
                <c:pt idx="22">
                  <c:v>0.4736294721410329</c:v>
                </c:pt>
              </c:numCache>
            </c:numRef>
          </c:yVal>
          <c:smooth val="0"/>
          <c:extLst>
            <c:ext xmlns:c16="http://schemas.microsoft.com/office/drawing/2014/chart" uri="{C3380CC4-5D6E-409C-BE32-E72D297353CC}">
              <c16:uniqueId val="{00000003-6BA7-4A70-B11A-2FCF3BB18901}"/>
            </c:ext>
          </c:extLst>
        </c:ser>
        <c:ser>
          <c:idx val="2"/>
          <c:order val="4"/>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Analysis!$Z$139:$Z$161</c:f>
              <c:numCache>
                <c:formatCode>0.00</c:formatCode>
                <c:ptCount val="23"/>
                <c:pt idx="1">
                  <c:v>1.1352282751529019</c:v>
                </c:pt>
                <c:pt idx="2">
                  <c:v>1.0193474202462329</c:v>
                </c:pt>
                <c:pt idx="3">
                  <c:v>0.94058055884168812</c:v>
                </c:pt>
                <c:pt idx="4">
                  <c:v>0.88207993209543756</c:v>
                </c:pt>
                <c:pt idx="5">
                  <c:v>0.83616450560560784</c:v>
                </c:pt>
                <c:pt idx="6">
                  <c:v>0.79873809480789937</c:v>
                </c:pt>
                <c:pt idx="7">
                  <c:v>0.76737906349841212</c:v>
                </c:pt>
                <c:pt idx="8">
                  <c:v>0.71720519495091084</c:v>
                </c:pt>
                <c:pt idx="9">
                  <c:v>0.67828591405612249</c:v>
                </c:pt>
                <c:pt idx="10">
                  <c:v>0.64682417256808555</c:v>
                </c:pt>
                <c:pt idx="11">
                  <c:v>0.62062482044441358</c:v>
                </c:pt>
                <c:pt idx="12">
                  <c:v>0.59831384046190828</c:v>
                </c:pt>
                <c:pt idx="13">
                  <c:v>0.57897893997375405</c:v>
                </c:pt>
                <c:pt idx="14">
                  <c:v>0.56198612918747493</c:v>
                </c:pt>
                <c:pt idx="15">
                  <c:v>0.54687850692771056</c:v>
                </c:pt>
                <c:pt idx="16">
                  <c:v>0.53331687132504668</c:v>
                </c:pt>
                <c:pt idx="17">
                  <c:v>0.51256057812325617</c:v>
                </c:pt>
                <c:pt idx="18">
                  <c:v>0.49477718353218164</c:v>
                </c:pt>
                <c:pt idx="19">
                  <c:v>0.47929119493899758</c:v>
                </c:pt>
                <c:pt idx="20">
                  <c:v>0.45850021612829028</c:v>
                </c:pt>
                <c:pt idx="21">
                  <c:v>0.44246818335590604</c:v>
                </c:pt>
                <c:pt idx="22">
                  <c:v>0.4285219033656964</c:v>
                </c:pt>
              </c:numCache>
            </c:numRef>
          </c:yVal>
          <c:smooth val="0"/>
          <c:extLst>
            <c:ext xmlns:c16="http://schemas.microsoft.com/office/drawing/2014/chart" uri="{C3380CC4-5D6E-409C-BE32-E72D297353CC}">
              <c16:uniqueId val="{00000004-6BA7-4A70-B11A-2FCF3BB18901}"/>
            </c:ext>
          </c:extLst>
        </c:ser>
        <c:ser>
          <c:idx val="3"/>
          <c:order val="5"/>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Analysis!$AA$139:$AA$161</c:f>
              <c:numCache>
                <c:formatCode>0.00</c:formatCode>
                <c:ptCount val="23"/>
                <c:pt idx="1">
                  <c:v>1.0276803332963111</c:v>
                </c:pt>
                <c:pt idx="2">
                  <c:v>0.92277766464395816</c:v>
                </c:pt>
                <c:pt idx="3">
                  <c:v>0.85147292695142296</c:v>
                </c:pt>
                <c:pt idx="4">
                  <c:v>0.79851446484429089</c:v>
                </c:pt>
                <c:pt idx="5">
                  <c:v>0.75694892086402399</c:v>
                </c:pt>
                <c:pt idx="6">
                  <c:v>0.72306817003662471</c:v>
                </c:pt>
                <c:pt idx="7">
                  <c:v>0.69467999432487837</c:v>
                </c:pt>
                <c:pt idx="8">
                  <c:v>0.64925943963977195</c:v>
                </c:pt>
                <c:pt idx="9">
                  <c:v>0.61402724851396351</c:v>
                </c:pt>
                <c:pt idx="10">
                  <c:v>0.5855460930616353</c:v>
                </c:pt>
                <c:pt idx="11">
                  <c:v>0.56182878482336396</c:v>
                </c:pt>
                <c:pt idx="12">
                  <c:v>0.54163147662867495</c:v>
                </c:pt>
                <c:pt idx="13">
                  <c:v>0.52412830355518791</c:v>
                </c:pt>
                <c:pt idx="14">
                  <c:v>0.50874533800129307</c:v>
                </c:pt>
                <c:pt idx="15">
                  <c:v>0.49506896416613799</c:v>
                </c:pt>
                <c:pt idx="16">
                  <c:v>0.48279211509425285</c:v>
                </c:pt>
                <c:pt idx="17">
                  <c:v>0.4640022075642109</c:v>
                </c:pt>
                <c:pt idx="18">
                  <c:v>0.44790355561860656</c:v>
                </c:pt>
                <c:pt idx="19">
                  <c:v>0.43388466068161885</c:v>
                </c:pt>
                <c:pt idx="20">
                  <c:v>0.41506335354771545</c:v>
                </c:pt>
                <c:pt idx="21">
                  <c:v>0.40055014493271496</c:v>
                </c:pt>
                <c:pt idx="22">
                  <c:v>0.38792509146789361</c:v>
                </c:pt>
              </c:numCache>
            </c:numRef>
          </c:yVal>
          <c:smooth val="0"/>
          <c:extLst>
            <c:ext xmlns:c16="http://schemas.microsoft.com/office/drawing/2014/chart" uri="{C3380CC4-5D6E-409C-BE32-E72D297353CC}">
              <c16:uniqueId val="{00000005-6BA7-4A70-B11A-2FCF3BB18901}"/>
            </c:ext>
          </c:extLst>
        </c:ser>
        <c:ser>
          <c:idx val="4"/>
          <c:order val="6"/>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Analysis!$AB$139:$AB$161</c:f>
              <c:numCache>
                <c:formatCode>0.00</c:formatCode>
                <c:ptCount val="23"/>
                <c:pt idx="1">
                  <c:v>0.91415750578102106</c:v>
                </c:pt>
                <c:pt idx="2">
                  <c:v>0.820842922619335</c:v>
                </c:pt>
                <c:pt idx="3">
                  <c:v>0.75741487106725425</c:v>
                </c:pt>
                <c:pt idx="4">
                  <c:v>0.71030647163474714</c:v>
                </c:pt>
                <c:pt idx="5">
                  <c:v>0.67333247030346322</c:v>
                </c:pt>
                <c:pt idx="6">
                  <c:v>0.64319436055583479</c:v>
                </c:pt>
                <c:pt idx="7">
                  <c:v>0.61794208797503725</c:v>
                </c:pt>
                <c:pt idx="8">
                  <c:v>0.57753892014468089</c:v>
                </c:pt>
                <c:pt idx="9">
                  <c:v>0.54619865710835136</c:v>
                </c:pt>
                <c:pt idx="10">
                  <c:v>0.52086367580482684</c:v>
                </c:pt>
                <c:pt idx="11">
                  <c:v>0.49976630277892259</c:v>
                </c:pt>
                <c:pt idx="12">
                  <c:v>0.48180009258248413</c:v>
                </c:pt>
                <c:pt idx="13">
                  <c:v>0.46623040955781253</c:v>
                </c:pt>
                <c:pt idx="14">
                  <c:v>0.45254672508254562</c:v>
                </c:pt>
                <c:pt idx="15">
                  <c:v>0.44038111347336695</c:v>
                </c:pt>
                <c:pt idx="16">
                  <c:v>0.42946042796174821</c:v>
                </c:pt>
                <c:pt idx="17">
                  <c:v>0.41274614975188528</c:v>
                </c:pt>
                <c:pt idx="18">
                  <c:v>0.39842583726538838</c:v>
                </c:pt>
                <c:pt idx="19">
                  <c:v>0.38595554118771913</c:v>
                </c:pt>
                <c:pt idx="20">
                  <c:v>0.36921333193488642</c:v>
                </c:pt>
                <c:pt idx="21">
                  <c:v>0.35630332659712438</c:v>
                </c:pt>
                <c:pt idx="22">
                  <c:v>0.34507290113132394</c:v>
                </c:pt>
              </c:numCache>
            </c:numRef>
          </c:yVal>
          <c:smooth val="0"/>
          <c:extLst>
            <c:ext xmlns:c16="http://schemas.microsoft.com/office/drawing/2014/chart" uri="{C3380CC4-5D6E-409C-BE32-E72D297353CC}">
              <c16:uniqueId val="{00000006-6BA7-4A70-B11A-2FCF3BB18901}"/>
            </c:ext>
          </c:extLst>
        </c:ser>
        <c:ser>
          <c:idx val="5"/>
          <c:order val="7"/>
          <c:spPr>
            <a:ln w="19050" cap="rnd">
              <a:solidFill>
                <a:schemeClr val="tx1"/>
              </a:solidFill>
              <a:round/>
            </a:ln>
            <a:effectLst/>
          </c:spPr>
          <c:marker>
            <c:symbol val="none"/>
          </c:marker>
          <c:xVal>
            <c:numRef>
              <c:f>Analysis!$W$139:$W$161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Analysis!$AC$139:$AC$161</c:f>
              <c:numCache>
                <c:formatCode>0.00</c:formatCode>
                <c:ptCount val="23"/>
                <c:pt idx="1">
                  <c:v>0.80063467826573087</c:v>
                </c:pt>
                <c:pt idx="2">
                  <c:v>0.71890818059471173</c:v>
                </c:pt>
                <c:pt idx="3">
                  <c:v>0.66335681518308542</c:v>
                </c:pt>
                <c:pt idx="4">
                  <c:v>0.62209847842520338</c:v>
                </c:pt>
                <c:pt idx="5">
                  <c:v>0.58971601974290244</c:v>
                </c:pt>
                <c:pt idx="6">
                  <c:v>0.56332055107504486</c:v>
                </c:pt>
                <c:pt idx="7">
                  <c:v>0.54120418162519601</c:v>
                </c:pt>
                <c:pt idx="8">
                  <c:v>0.50581840064958983</c:v>
                </c:pt>
                <c:pt idx="9">
                  <c:v>0.4783700657027391</c:v>
                </c:pt>
                <c:pt idx="10">
                  <c:v>0.45618125854801828</c:v>
                </c:pt>
                <c:pt idx="11">
                  <c:v>0.43770382073448122</c:v>
                </c:pt>
                <c:pt idx="12">
                  <c:v>0.42196870853629331</c:v>
                </c:pt>
                <c:pt idx="13">
                  <c:v>0.40833251556043715</c:v>
                </c:pt>
                <c:pt idx="14">
                  <c:v>0.39634811216379812</c:v>
                </c:pt>
                <c:pt idx="15">
                  <c:v>0.3856932627805959</c:v>
                </c:pt>
                <c:pt idx="16">
                  <c:v>0.37612874082924352</c:v>
                </c:pt>
                <c:pt idx="17">
                  <c:v>0.36149009193955967</c:v>
                </c:pt>
                <c:pt idx="18">
                  <c:v>0.34894811891217026</c:v>
                </c:pt>
                <c:pt idx="19">
                  <c:v>0.33802642169381936</c:v>
                </c:pt>
                <c:pt idx="20">
                  <c:v>0.3233633103220574</c:v>
                </c:pt>
                <c:pt idx="21">
                  <c:v>0.31205650826153375</c:v>
                </c:pt>
                <c:pt idx="22">
                  <c:v>0.30222071079475432</c:v>
                </c:pt>
              </c:numCache>
            </c:numRef>
          </c:yVal>
          <c:smooth val="0"/>
          <c:extLst>
            <c:ext xmlns:c16="http://schemas.microsoft.com/office/drawing/2014/chart" uri="{C3380CC4-5D6E-409C-BE32-E72D297353CC}">
              <c16:uniqueId val="{00000007-6BA7-4A70-B11A-2FCF3BB18901}"/>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Analysis!$W$190:$W$191</c:f>
              <c:numCache>
                <c:formatCode>0.0</c:formatCode>
                <c:ptCount val="2"/>
                <c:pt idx="0" formatCode="General">
                  <c:v>0</c:v>
                </c:pt>
                <c:pt idx="1">
                  <c:v>120</c:v>
                </c:pt>
              </c:numCache>
            </c:numRef>
          </c:xVal>
          <c:yVal>
            <c:numRef>
              <c:f>Analysis!$X$190:$X$191</c:f>
              <c:numCache>
                <c:formatCode>0.00</c:formatCode>
                <c:ptCount val="2"/>
                <c:pt idx="0" formatCode="General">
                  <c:v>1</c:v>
                </c:pt>
                <c:pt idx="1">
                  <c:v>3.8</c:v>
                </c:pt>
              </c:numCache>
            </c:numRef>
          </c:yVal>
          <c:smooth val="0"/>
          <c:extLst>
            <c:ext xmlns:c16="http://schemas.microsoft.com/office/drawing/2014/chart" uri="{C3380CC4-5D6E-409C-BE32-E72D297353CC}">
              <c16:uniqueId val="{00000000-03D5-4224-B14E-A2AC3EFCF86C}"/>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3D5-4224-B14E-A2AC3EFCF86C}"/>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Analysis!$AT$187</c:f>
              <c:numCache>
                <c:formatCode>0.0</c:formatCode>
                <c:ptCount val="1"/>
                <c:pt idx="0">
                  <c:v>120</c:v>
                </c:pt>
              </c:numCache>
            </c:numRef>
          </c:xVal>
          <c:yVal>
            <c:numRef>
              <c:f>Analysis!$AT$188</c:f>
              <c:numCache>
                <c:formatCode>General</c:formatCode>
                <c:ptCount val="1"/>
                <c:pt idx="0">
                  <c:v>3.8</c:v>
                </c:pt>
              </c:numCache>
            </c:numRef>
          </c:yVal>
          <c:smooth val="0"/>
          <c:extLst>
            <c:ext xmlns:c16="http://schemas.microsoft.com/office/drawing/2014/chart" uri="{C3380CC4-5D6E-409C-BE32-E72D297353CC}">
              <c16:uniqueId val="{00000002-03D5-4224-B14E-A2AC3EFCF86C}"/>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Analysis!$AT$203</c:f>
              <c:numCache>
                <c:formatCode>0.0</c:formatCode>
                <c:ptCount val="1"/>
                <c:pt idx="0">
                  <c:v>160</c:v>
                </c:pt>
              </c:numCache>
            </c:numRef>
          </c:xVal>
          <c:yVal>
            <c:numRef>
              <c:f>Analysis!$AT$204</c:f>
              <c:numCache>
                <c:formatCode>0.00</c:formatCode>
                <c:ptCount val="1"/>
                <c:pt idx="0">
                  <c:v>4.1446586566634815</c:v>
                </c:pt>
              </c:numCache>
            </c:numRef>
          </c:yVal>
          <c:smooth val="0"/>
          <c:extLst>
            <c:ext xmlns:c16="http://schemas.microsoft.com/office/drawing/2014/chart" uri="{C3380CC4-5D6E-409C-BE32-E72D297353CC}">
              <c16:uniqueId val="{00000003-03D5-4224-B14E-A2AC3EFCF86C}"/>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Analysis!$AT$190</c:f>
              <c:numCache>
                <c:formatCode>0.0</c:formatCode>
                <c:ptCount val="1"/>
                <c:pt idx="0">
                  <c:v>190</c:v>
                </c:pt>
              </c:numCache>
            </c:numRef>
          </c:xVal>
          <c:yVal>
            <c:numRef>
              <c:f>Analysis!$AT$191</c:f>
              <c:numCache>
                <c:formatCode>0.00</c:formatCode>
                <c:ptCount val="1"/>
                <c:pt idx="0">
                  <c:v>3.8</c:v>
                </c:pt>
              </c:numCache>
            </c:numRef>
          </c:yVal>
          <c:smooth val="0"/>
          <c:extLst>
            <c:ext xmlns:c16="http://schemas.microsoft.com/office/drawing/2014/chart" uri="{C3380CC4-5D6E-409C-BE32-E72D297353CC}">
              <c16:uniqueId val="{00000004-03D5-4224-B14E-A2AC3EFCF86C}"/>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Analysis!$AT$196</c:f>
              <c:numCache>
                <c:formatCode>0.0</c:formatCode>
                <c:ptCount val="1"/>
                <c:pt idx="0">
                  <c:v>160</c:v>
                </c:pt>
              </c:numCache>
            </c:numRef>
          </c:xVal>
          <c:yVal>
            <c:numRef>
              <c:f>Analysis!$AT$197</c:f>
              <c:numCache>
                <c:formatCode>0.00</c:formatCode>
                <c:ptCount val="1"/>
                <c:pt idx="0">
                  <c:v>-2.2104274274893849</c:v>
                </c:pt>
              </c:numCache>
            </c:numRef>
          </c:yVal>
          <c:smooth val="0"/>
          <c:extLst>
            <c:ext xmlns:c16="http://schemas.microsoft.com/office/drawing/2014/chart" uri="{C3380CC4-5D6E-409C-BE32-E72D297353CC}">
              <c16:uniqueId val="{00000005-03D5-4224-B14E-A2AC3EFCF86C}"/>
            </c:ext>
          </c:extLst>
        </c:ser>
        <c:ser>
          <c:idx val="5"/>
          <c:order val="5"/>
          <c:marker>
            <c:symbol val="circle"/>
            <c:size val="5"/>
            <c:spPr>
              <a:solidFill>
                <a:sysClr val="windowText" lastClr="000000"/>
              </a:solidFill>
              <a:ln>
                <a:solidFill>
                  <a:sysClr val="windowText" lastClr="000000"/>
                </a:solidFill>
              </a:ln>
            </c:spPr>
          </c:marker>
          <c:xVal>
            <c:numRef>
              <c:f>Analysis!$AT$193</c:f>
              <c:numCache>
                <c:formatCode>0.0</c:formatCode>
                <c:ptCount val="1"/>
                <c:pt idx="0">
                  <c:v>190</c:v>
                </c:pt>
              </c:numCache>
            </c:numRef>
          </c:xVal>
          <c:yVal>
            <c:numRef>
              <c:f>Analysis!$AT$194</c:f>
              <c:numCache>
                <c:formatCode>0.00</c:formatCode>
                <c:ptCount val="1"/>
                <c:pt idx="0">
                  <c:v>-1.9</c:v>
                </c:pt>
              </c:numCache>
            </c:numRef>
          </c:yVal>
          <c:smooth val="0"/>
          <c:extLst>
            <c:ext xmlns:c16="http://schemas.microsoft.com/office/drawing/2014/chart" uri="{C3380CC4-5D6E-409C-BE32-E72D297353CC}">
              <c16:uniqueId val="{00000006-03D5-4224-B14E-A2AC3EFCF86C}"/>
            </c:ext>
          </c:extLst>
        </c:ser>
        <c:ser>
          <c:idx val="6"/>
          <c:order val="6"/>
          <c:spPr>
            <a:ln w="12700">
              <a:solidFill>
                <a:schemeClr val="bg1">
                  <a:lumMod val="50000"/>
                </a:schemeClr>
              </a:solidFill>
              <a:prstDash val="dash"/>
            </a:ln>
          </c:spPr>
          <c:marker>
            <c:symbol val="none"/>
          </c:marker>
          <c:xVal>
            <c:numRef>
              <c:f>Analysis!$W$190:$W$191</c:f>
              <c:numCache>
                <c:formatCode>0.0</c:formatCode>
                <c:ptCount val="2"/>
                <c:pt idx="0" formatCode="General">
                  <c:v>0</c:v>
                </c:pt>
                <c:pt idx="1">
                  <c:v>120</c:v>
                </c:pt>
              </c:numCache>
            </c:numRef>
          </c:xVal>
          <c:yVal>
            <c:numRef>
              <c:f>Analysis!$Y$190:$Y$191</c:f>
              <c:numCache>
                <c:formatCode>0.00</c:formatCode>
                <c:ptCount val="2"/>
                <c:pt idx="0" formatCode="General">
                  <c:v>1</c:v>
                </c:pt>
                <c:pt idx="1">
                  <c:v>-1.9</c:v>
                </c:pt>
              </c:numCache>
            </c:numRef>
          </c:yVal>
          <c:smooth val="0"/>
          <c:extLst>
            <c:ext xmlns:c16="http://schemas.microsoft.com/office/drawing/2014/chart" uri="{C3380CC4-5D6E-409C-BE32-E72D297353CC}">
              <c16:uniqueId val="{00000007-03D5-4224-B14E-A2AC3EFCF86C}"/>
            </c:ext>
          </c:extLst>
        </c:ser>
        <c:ser>
          <c:idx val="7"/>
          <c:order val="7"/>
          <c:spPr>
            <a:ln w="12700">
              <a:solidFill>
                <a:schemeClr val="bg1">
                  <a:lumMod val="50000"/>
                </a:schemeClr>
              </a:solidFill>
              <a:prstDash val="dash"/>
            </a:ln>
          </c:spPr>
          <c:marker>
            <c:symbol val="none"/>
          </c:marker>
          <c:xVal>
            <c:numRef>
              <c:f>Analysis!$W$190:$W$195</c:f>
              <c:numCache>
                <c:formatCode>0.0</c:formatCode>
                <c:ptCount val="6"/>
                <c:pt idx="0" formatCode="General">
                  <c:v>0</c:v>
                </c:pt>
                <c:pt idx="1">
                  <c:v>120</c:v>
                </c:pt>
                <c:pt idx="4" formatCode="General">
                  <c:v>0</c:v>
                </c:pt>
                <c:pt idx="5">
                  <c:v>190</c:v>
                </c:pt>
              </c:numCache>
            </c:numRef>
          </c:xVal>
          <c:yVal>
            <c:numRef>
              <c:f>Analysis!$Z$190:$Z$195</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03D5-4224-B14E-A2AC3EFCF86C}"/>
            </c:ext>
          </c:extLst>
        </c:ser>
        <c:ser>
          <c:idx val="8"/>
          <c:order val="8"/>
          <c:spPr>
            <a:ln w="12700">
              <a:solidFill>
                <a:schemeClr val="bg1">
                  <a:lumMod val="50000"/>
                </a:schemeClr>
              </a:solidFill>
              <a:prstDash val="dash"/>
            </a:ln>
          </c:spPr>
          <c:marker>
            <c:symbol val="none"/>
          </c:marker>
          <c:xVal>
            <c:numRef>
              <c:f>Analysis!$W$190:$W$195</c:f>
              <c:numCache>
                <c:formatCode>0.0</c:formatCode>
                <c:ptCount val="6"/>
                <c:pt idx="0" formatCode="General">
                  <c:v>0</c:v>
                </c:pt>
                <c:pt idx="1">
                  <c:v>120</c:v>
                </c:pt>
                <c:pt idx="4" formatCode="General">
                  <c:v>0</c:v>
                </c:pt>
                <c:pt idx="5">
                  <c:v>190</c:v>
                </c:pt>
              </c:numCache>
            </c:numRef>
          </c:xVal>
          <c:yVal>
            <c:numRef>
              <c:f>Analysis!$AA$190:$AA$195</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03D5-4224-B14E-A2AC3EFCF86C}"/>
            </c:ext>
          </c:extLst>
        </c:ser>
        <c:ser>
          <c:idx val="9"/>
          <c:order val="9"/>
          <c:spPr>
            <a:ln w="19050">
              <a:solidFill>
                <a:schemeClr val="tx1"/>
              </a:solidFill>
            </a:ln>
          </c:spPr>
          <c:marker>
            <c:symbol val="none"/>
          </c:marker>
          <c:xVal>
            <c:numRef>
              <c:f>Analysis!$AD$191:$AD$196</c:f>
              <c:numCache>
                <c:formatCode>0.0</c:formatCode>
                <c:ptCount val="6"/>
                <c:pt idx="0">
                  <c:v>120</c:v>
                </c:pt>
                <c:pt idx="1">
                  <c:v>160</c:v>
                </c:pt>
                <c:pt idx="2">
                  <c:v>190</c:v>
                </c:pt>
                <c:pt idx="3">
                  <c:v>190</c:v>
                </c:pt>
                <c:pt idx="4">
                  <c:v>160</c:v>
                </c:pt>
                <c:pt idx="5">
                  <c:v>120</c:v>
                </c:pt>
              </c:numCache>
            </c:numRef>
          </c:xVal>
          <c:yVal>
            <c:numRef>
              <c:f>Analysis!$AE$191:$AE$196</c:f>
              <c:numCache>
                <c:formatCode>0.00</c:formatCode>
                <c:ptCount val="6"/>
                <c:pt idx="0" formatCode="General">
                  <c:v>3.8</c:v>
                </c:pt>
                <c:pt idx="1">
                  <c:v>4.1446586566634815</c:v>
                </c:pt>
                <c:pt idx="2">
                  <c:v>3.8</c:v>
                </c:pt>
                <c:pt idx="3">
                  <c:v>-1.9</c:v>
                </c:pt>
                <c:pt idx="4">
                  <c:v>-2.2104274274893849</c:v>
                </c:pt>
                <c:pt idx="5">
                  <c:v>-1.9</c:v>
                </c:pt>
              </c:numCache>
            </c:numRef>
          </c:yVal>
          <c:smooth val="0"/>
          <c:extLst>
            <c:ext xmlns:c16="http://schemas.microsoft.com/office/drawing/2014/chart" uri="{C3380CC4-5D6E-409C-BE32-E72D297353CC}">
              <c16:uniqueId val="{0000000A-03D5-4224-B14E-A2AC3EFCF86C}"/>
            </c:ext>
          </c:extLst>
        </c:ser>
        <c:ser>
          <c:idx val="10"/>
          <c:order val="10"/>
          <c:marker>
            <c:symbol val="circle"/>
            <c:size val="5"/>
            <c:spPr>
              <a:solidFill>
                <a:sysClr val="windowText" lastClr="000000"/>
              </a:solidFill>
              <a:ln>
                <a:solidFill>
                  <a:prstClr val="white">
                    <a:lumMod val="50000"/>
                  </a:prstClr>
                </a:solidFill>
              </a:ln>
            </c:spPr>
          </c:marker>
          <c:xVal>
            <c:numRef>
              <c:f>Analysis!$AT$199</c:f>
              <c:numCache>
                <c:formatCode>0.0</c:formatCode>
                <c:ptCount val="1"/>
                <c:pt idx="0">
                  <c:v>120</c:v>
                </c:pt>
              </c:numCache>
            </c:numRef>
          </c:xVal>
          <c:yVal>
            <c:numRef>
              <c:f>Analysis!$AT$200</c:f>
              <c:numCache>
                <c:formatCode>General</c:formatCode>
                <c:ptCount val="1"/>
                <c:pt idx="0">
                  <c:v>-1.9</c:v>
                </c:pt>
              </c:numCache>
            </c:numRef>
          </c:yVal>
          <c:smooth val="0"/>
          <c:extLst>
            <c:ext xmlns:c16="http://schemas.microsoft.com/office/drawing/2014/chart" uri="{C3380CC4-5D6E-409C-BE32-E72D297353CC}">
              <c16:uniqueId val="{0000000B-03D5-4224-B14E-A2AC3EFCF86C}"/>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3D5-4224-B14E-A2AC3EFCF8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Analysis!$AJ$186:$AJ$202</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Analysis!$AL$186:$AL$202</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03D5-4224-B14E-A2AC3EFCF86C}"/>
            </c:ext>
          </c:extLst>
        </c:ser>
        <c:ser>
          <c:idx val="12"/>
          <c:order val="12"/>
          <c:spPr>
            <a:ln w="19050">
              <a:solidFill>
                <a:schemeClr val="tx1"/>
              </a:solidFill>
            </a:ln>
          </c:spPr>
          <c:marker>
            <c:symbol val="none"/>
          </c:marker>
          <c:xVal>
            <c:numRef>
              <c:f>Analysis!$AN$186:$AN$202</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Analysis!$AO$186:$AO$202</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03D5-4224-B14E-A2AC3EFCF86C}"/>
            </c:ext>
          </c:extLst>
        </c:ser>
        <c:ser>
          <c:idx val="13"/>
          <c:order val="13"/>
          <c:spPr>
            <a:ln w="15875">
              <a:solidFill>
                <a:schemeClr val="tx1"/>
              </a:solidFill>
              <a:prstDash val="lgDashDot"/>
            </a:ln>
          </c:spPr>
          <c:marker>
            <c:symbol val="none"/>
          </c:marker>
          <c:xVal>
            <c:numRef>
              <c:f>Analysis!$AG$192:$AG$207</c:f>
              <c:numCache>
                <c:formatCode>0.0</c:formatCode>
                <c:ptCount val="16"/>
                <c:pt idx="0">
                  <c:v>120</c:v>
                </c:pt>
                <c:pt idx="1">
                  <c:v>190</c:v>
                </c:pt>
                <c:pt idx="3">
                  <c:v>120</c:v>
                </c:pt>
                <c:pt idx="4">
                  <c:v>190</c:v>
                </c:pt>
                <c:pt idx="6">
                  <c:v>120</c:v>
                </c:pt>
                <c:pt idx="7">
                  <c:v>120</c:v>
                </c:pt>
                <c:pt idx="9">
                  <c:v>160</c:v>
                </c:pt>
                <c:pt idx="10">
                  <c:v>160</c:v>
                </c:pt>
              </c:numCache>
            </c:numRef>
          </c:xVal>
          <c:yVal>
            <c:numRef>
              <c:f>Analysis!$AH$192:$AH$207</c:f>
              <c:numCache>
                <c:formatCode>0.00</c:formatCode>
                <c:ptCount val="16"/>
                <c:pt idx="0">
                  <c:v>3.8</c:v>
                </c:pt>
                <c:pt idx="1">
                  <c:v>3.8</c:v>
                </c:pt>
                <c:pt idx="3">
                  <c:v>-1.9</c:v>
                </c:pt>
                <c:pt idx="4">
                  <c:v>-1.9</c:v>
                </c:pt>
                <c:pt idx="6" formatCode="General">
                  <c:v>4.18</c:v>
                </c:pt>
                <c:pt idx="7" formatCode="General">
                  <c:v>-2.09</c:v>
                </c:pt>
                <c:pt idx="9" formatCode="General">
                  <c:v>4.5591245223298298</c:v>
                </c:pt>
                <c:pt idx="10" formatCode="General">
                  <c:v>-2.4314701702383235</c:v>
                </c:pt>
              </c:numCache>
            </c:numRef>
          </c:yVal>
          <c:smooth val="0"/>
          <c:extLst>
            <c:ext xmlns:c16="http://schemas.microsoft.com/office/drawing/2014/chart" uri="{C3380CC4-5D6E-409C-BE32-E72D297353CC}">
              <c16:uniqueId val="{0000000F-03D5-4224-B14E-A2AC3EFCF86C}"/>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Analysis!$W$213:$W$214</c:f>
              <c:numCache>
                <c:formatCode>0.0</c:formatCode>
                <c:ptCount val="2"/>
                <c:pt idx="0" formatCode="General">
                  <c:v>0</c:v>
                </c:pt>
                <c:pt idx="1">
                  <c:v>120</c:v>
                </c:pt>
              </c:numCache>
            </c:numRef>
          </c:xVal>
          <c:yVal>
            <c:numRef>
              <c:f>Analysis!$X$213:$X$214</c:f>
              <c:numCache>
                <c:formatCode>0.00</c:formatCode>
                <c:ptCount val="2"/>
                <c:pt idx="0" formatCode="General">
                  <c:v>1</c:v>
                </c:pt>
                <c:pt idx="1">
                  <c:v>3.8</c:v>
                </c:pt>
              </c:numCache>
            </c:numRef>
          </c:yVal>
          <c:smooth val="0"/>
          <c:extLst>
            <c:ext xmlns:c16="http://schemas.microsoft.com/office/drawing/2014/chart" uri="{C3380CC4-5D6E-409C-BE32-E72D297353CC}">
              <c16:uniqueId val="{00000000-9DC7-4D26-B4BF-53539D03B2FC}"/>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DC7-4D26-B4BF-53539D03B2FC}"/>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Analysis!$AT$210</c:f>
              <c:numCache>
                <c:formatCode>0.0</c:formatCode>
                <c:ptCount val="1"/>
                <c:pt idx="0">
                  <c:v>120</c:v>
                </c:pt>
              </c:numCache>
            </c:numRef>
          </c:xVal>
          <c:yVal>
            <c:numRef>
              <c:f>Analysis!$AT$211</c:f>
              <c:numCache>
                <c:formatCode>General</c:formatCode>
                <c:ptCount val="1"/>
                <c:pt idx="0">
                  <c:v>3.8</c:v>
                </c:pt>
              </c:numCache>
            </c:numRef>
          </c:yVal>
          <c:smooth val="0"/>
          <c:extLst>
            <c:ext xmlns:c16="http://schemas.microsoft.com/office/drawing/2014/chart" uri="{C3380CC4-5D6E-409C-BE32-E72D297353CC}">
              <c16:uniqueId val="{00000002-9DC7-4D26-B4BF-53539D03B2FC}"/>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Analysis!$AT$226</c:f>
              <c:numCache>
                <c:formatCode>0.0</c:formatCode>
                <c:ptCount val="1"/>
                <c:pt idx="0">
                  <c:v>160</c:v>
                </c:pt>
              </c:numCache>
            </c:numRef>
          </c:xVal>
          <c:yVal>
            <c:numRef>
              <c:f>Analysis!$AT$227</c:f>
              <c:numCache>
                <c:formatCode>0.00</c:formatCode>
                <c:ptCount val="1"/>
                <c:pt idx="0">
                  <c:v>4.4925653815640638</c:v>
                </c:pt>
              </c:numCache>
            </c:numRef>
          </c:yVal>
          <c:smooth val="0"/>
          <c:extLst>
            <c:ext xmlns:c16="http://schemas.microsoft.com/office/drawing/2014/chart" uri="{C3380CC4-5D6E-409C-BE32-E72D297353CC}">
              <c16:uniqueId val="{00000003-9DC7-4D26-B4BF-53539D03B2FC}"/>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Analysis!$AT$213</c:f>
              <c:numCache>
                <c:formatCode>0.0</c:formatCode>
                <c:ptCount val="1"/>
                <c:pt idx="0">
                  <c:v>190</c:v>
                </c:pt>
              </c:numCache>
            </c:numRef>
          </c:xVal>
          <c:yVal>
            <c:numRef>
              <c:f>Analysis!$AT$214</c:f>
              <c:numCache>
                <c:formatCode>0.00</c:formatCode>
                <c:ptCount val="1"/>
                <c:pt idx="0">
                  <c:v>3.8</c:v>
                </c:pt>
              </c:numCache>
            </c:numRef>
          </c:yVal>
          <c:smooth val="0"/>
          <c:extLst>
            <c:ext xmlns:c16="http://schemas.microsoft.com/office/drawing/2014/chart" uri="{C3380CC4-5D6E-409C-BE32-E72D297353CC}">
              <c16:uniqueId val="{00000004-9DC7-4D26-B4BF-53539D03B2FC}"/>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Analysis!$AT$219</c:f>
              <c:numCache>
                <c:formatCode>0.0</c:formatCode>
                <c:ptCount val="1"/>
                <c:pt idx="0">
                  <c:v>160</c:v>
                </c:pt>
              </c:numCache>
            </c:numRef>
          </c:xVal>
          <c:yVal>
            <c:numRef>
              <c:f>Analysis!$AT$220</c:f>
              <c:numCache>
                <c:formatCode>0.00</c:formatCode>
                <c:ptCount val="1"/>
                <c:pt idx="0">
                  <c:v>-2.5007680302464017</c:v>
                </c:pt>
              </c:numCache>
            </c:numRef>
          </c:yVal>
          <c:smooth val="0"/>
          <c:extLst>
            <c:ext xmlns:c16="http://schemas.microsoft.com/office/drawing/2014/chart" uri="{C3380CC4-5D6E-409C-BE32-E72D297353CC}">
              <c16:uniqueId val="{00000005-9DC7-4D26-B4BF-53539D03B2FC}"/>
            </c:ext>
          </c:extLst>
        </c:ser>
        <c:ser>
          <c:idx val="5"/>
          <c:order val="5"/>
          <c:marker>
            <c:symbol val="circle"/>
            <c:size val="5"/>
            <c:spPr>
              <a:solidFill>
                <a:sysClr val="windowText" lastClr="000000"/>
              </a:solidFill>
              <a:ln>
                <a:solidFill>
                  <a:sysClr val="windowText" lastClr="000000"/>
                </a:solidFill>
              </a:ln>
            </c:spPr>
          </c:marker>
          <c:xVal>
            <c:numRef>
              <c:f>Analysis!$AT$216</c:f>
              <c:numCache>
                <c:formatCode>0.0</c:formatCode>
                <c:ptCount val="1"/>
                <c:pt idx="0">
                  <c:v>190</c:v>
                </c:pt>
              </c:numCache>
            </c:numRef>
          </c:xVal>
          <c:yVal>
            <c:numRef>
              <c:f>Analysis!$AT$217</c:f>
              <c:numCache>
                <c:formatCode>0.00</c:formatCode>
                <c:ptCount val="1"/>
                <c:pt idx="0">
                  <c:v>-1.9</c:v>
                </c:pt>
              </c:numCache>
            </c:numRef>
          </c:yVal>
          <c:smooth val="0"/>
          <c:extLst>
            <c:ext xmlns:c16="http://schemas.microsoft.com/office/drawing/2014/chart" uri="{C3380CC4-5D6E-409C-BE32-E72D297353CC}">
              <c16:uniqueId val="{00000006-9DC7-4D26-B4BF-53539D03B2FC}"/>
            </c:ext>
          </c:extLst>
        </c:ser>
        <c:ser>
          <c:idx val="6"/>
          <c:order val="6"/>
          <c:spPr>
            <a:ln w="12700">
              <a:solidFill>
                <a:schemeClr val="bg1">
                  <a:lumMod val="50000"/>
                </a:schemeClr>
              </a:solidFill>
              <a:prstDash val="dash"/>
            </a:ln>
          </c:spPr>
          <c:marker>
            <c:symbol val="none"/>
          </c:marker>
          <c:xVal>
            <c:numRef>
              <c:f>Analysis!$W$213:$W$214</c:f>
              <c:numCache>
                <c:formatCode>0.0</c:formatCode>
                <c:ptCount val="2"/>
                <c:pt idx="0" formatCode="General">
                  <c:v>0</c:v>
                </c:pt>
                <c:pt idx="1">
                  <c:v>120</c:v>
                </c:pt>
              </c:numCache>
            </c:numRef>
          </c:xVal>
          <c:yVal>
            <c:numRef>
              <c:f>Analysis!$Y$213:$Y$214</c:f>
              <c:numCache>
                <c:formatCode>0.00</c:formatCode>
                <c:ptCount val="2"/>
                <c:pt idx="0" formatCode="General">
                  <c:v>1</c:v>
                </c:pt>
                <c:pt idx="1">
                  <c:v>-1.9</c:v>
                </c:pt>
              </c:numCache>
            </c:numRef>
          </c:yVal>
          <c:smooth val="0"/>
          <c:extLst>
            <c:ext xmlns:c16="http://schemas.microsoft.com/office/drawing/2014/chart" uri="{C3380CC4-5D6E-409C-BE32-E72D297353CC}">
              <c16:uniqueId val="{00000007-9DC7-4D26-B4BF-53539D03B2FC}"/>
            </c:ext>
          </c:extLst>
        </c:ser>
        <c:ser>
          <c:idx val="7"/>
          <c:order val="7"/>
          <c:spPr>
            <a:ln w="12700">
              <a:solidFill>
                <a:schemeClr val="bg1">
                  <a:lumMod val="50000"/>
                </a:schemeClr>
              </a:solidFill>
              <a:prstDash val="dash"/>
            </a:ln>
          </c:spPr>
          <c:marker>
            <c:symbol val="none"/>
          </c:marker>
          <c:xVal>
            <c:numRef>
              <c:f>Analysis!$W$213:$W$218</c:f>
              <c:numCache>
                <c:formatCode>0.0</c:formatCode>
                <c:ptCount val="6"/>
                <c:pt idx="0" formatCode="General">
                  <c:v>0</c:v>
                </c:pt>
                <c:pt idx="1">
                  <c:v>120</c:v>
                </c:pt>
                <c:pt idx="4" formatCode="General">
                  <c:v>0</c:v>
                </c:pt>
                <c:pt idx="5">
                  <c:v>190</c:v>
                </c:pt>
              </c:numCache>
            </c:numRef>
          </c:xVal>
          <c:yVal>
            <c:numRef>
              <c:f>Analysis!$Z$213:$Z$218</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9DC7-4D26-B4BF-53539D03B2FC}"/>
            </c:ext>
          </c:extLst>
        </c:ser>
        <c:ser>
          <c:idx val="8"/>
          <c:order val="8"/>
          <c:spPr>
            <a:ln w="12700">
              <a:solidFill>
                <a:schemeClr val="bg1">
                  <a:lumMod val="50000"/>
                </a:schemeClr>
              </a:solidFill>
              <a:prstDash val="dash"/>
            </a:ln>
          </c:spPr>
          <c:marker>
            <c:symbol val="none"/>
          </c:marker>
          <c:xVal>
            <c:numRef>
              <c:f>Analysis!$W$213:$W$218</c:f>
              <c:numCache>
                <c:formatCode>0.0</c:formatCode>
                <c:ptCount val="6"/>
                <c:pt idx="0" formatCode="General">
                  <c:v>0</c:v>
                </c:pt>
                <c:pt idx="1">
                  <c:v>120</c:v>
                </c:pt>
                <c:pt idx="4" formatCode="General">
                  <c:v>0</c:v>
                </c:pt>
                <c:pt idx="5">
                  <c:v>190</c:v>
                </c:pt>
              </c:numCache>
            </c:numRef>
          </c:xVal>
          <c:yVal>
            <c:numRef>
              <c:f>Analysis!$AA$213:$AA$218</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9DC7-4D26-B4BF-53539D03B2FC}"/>
            </c:ext>
          </c:extLst>
        </c:ser>
        <c:ser>
          <c:idx val="9"/>
          <c:order val="9"/>
          <c:spPr>
            <a:ln w="19050">
              <a:solidFill>
                <a:schemeClr val="tx1"/>
              </a:solidFill>
            </a:ln>
          </c:spPr>
          <c:marker>
            <c:symbol val="none"/>
          </c:marker>
          <c:xVal>
            <c:numRef>
              <c:f>Analysis!$AD$214:$AD$219</c:f>
              <c:numCache>
                <c:formatCode>0.0</c:formatCode>
                <c:ptCount val="6"/>
                <c:pt idx="0">
                  <c:v>120</c:v>
                </c:pt>
                <c:pt idx="1">
                  <c:v>160</c:v>
                </c:pt>
                <c:pt idx="2">
                  <c:v>190</c:v>
                </c:pt>
                <c:pt idx="3">
                  <c:v>190</c:v>
                </c:pt>
                <c:pt idx="4">
                  <c:v>160</c:v>
                </c:pt>
                <c:pt idx="5">
                  <c:v>120</c:v>
                </c:pt>
              </c:numCache>
            </c:numRef>
          </c:xVal>
          <c:yVal>
            <c:numRef>
              <c:f>Analysis!$AE$214:$AE$219</c:f>
              <c:numCache>
                <c:formatCode>0.00</c:formatCode>
                <c:ptCount val="6"/>
                <c:pt idx="0" formatCode="General">
                  <c:v>3.8</c:v>
                </c:pt>
                <c:pt idx="1">
                  <c:v>4.4925653815640638</c:v>
                </c:pt>
                <c:pt idx="2">
                  <c:v>3.8</c:v>
                </c:pt>
                <c:pt idx="3">
                  <c:v>-1.9</c:v>
                </c:pt>
                <c:pt idx="4">
                  <c:v>-2.5007680302464017</c:v>
                </c:pt>
                <c:pt idx="5">
                  <c:v>-1.9</c:v>
                </c:pt>
              </c:numCache>
            </c:numRef>
          </c:yVal>
          <c:smooth val="0"/>
          <c:extLst>
            <c:ext xmlns:c16="http://schemas.microsoft.com/office/drawing/2014/chart" uri="{C3380CC4-5D6E-409C-BE32-E72D297353CC}">
              <c16:uniqueId val="{0000000A-9DC7-4D26-B4BF-53539D03B2FC}"/>
            </c:ext>
          </c:extLst>
        </c:ser>
        <c:ser>
          <c:idx val="10"/>
          <c:order val="10"/>
          <c:marker>
            <c:symbol val="circle"/>
            <c:size val="5"/>
            <c:spPr>
              <a:solidFill>
                <a:sysClr val="windowText" lastClr="000000"/>
              </a:solidFill>
              <a:ln>
                <a:solidFill>
                  <a:prstClr val="white">
                    <a:lumMod val="50000"/>
                  </a:prstClr>
                </a:solidFill>
              </a:ln>
            </c:spPr>
          </c:marker>
          <c:xVal>
            <c:numRef>
              <c:f>Analysis!$AT$222</c:f>
              <c:numCache>
                <c:formatCode>0.0</c:formatCode>
                <c:ptCount val="1"/>
                <c:pt idx="0">
                  <c:v>120</c:v>
                </c:pt>
              </c:numCache>
            </c:numRef>
          </c:xVal>
          <c:yVal>
            <c:numRef>
              <c:f>Analysis!$AT$223</c:f>
              <c:numCache>
                <c:formatCode>0.00</c:formatCode>
                <c:ptCount val="1"/>
                <c:pt idx="0">
                  <c:v>-1.9</c:v>
                </c:pt>
              </c:numCache>
            </c:numRef>
          </c:yVal>
          <c:smooth val="0"/>
          <c:extLst>
            <c:ext xmlns:c16="http://schemas.microsoft.com/office/drawing/2014/chart" uri="{C3380CC4-5D6E-409C-BE32-E72D297353CC}">
              <c16:uniqueId val="{0000000B-9DC7-4D26-B4BF-53539D03B2FC}"/>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9DC7-4D26-B4BF-53539D03B2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Analysis!$AJ$209:$AJ$225</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Analysis!$AL$209:$AL$225</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9DC7-4D26-B4BF-53539D03B2FC}"/>
            </c:ext>
          </c:extLst>
        </c:ser>
        <c:ser>
          <c:idx val="12"/>
          <c:order val="12"/>
          <c:spPr>
            <a:ln w="19050">
              <a:solidFill>
                <a:schemeClr val="tx1"/>
              </a:solidFill>
            </a:ln>
          </c:spPr>
          <c:marker>
            <c:symbol val="none"/>
          </c:marker>
          <c:xVal>
            <c:numRef>
              <c:f>Analysis!$AN$209:$AN$225</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Analysis!$AO$209:$AO$225</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9DC7-4D26-B4BF-53539D03B2FC}"/>
            </c:ext>
          </c:extLst>
        </c:ser>
        <c:ser>
          <c:idx val="13"/>
          <c:order val="13"/>
          <c:spPr>
            <a:ln w="15875">
              <a:solidFill>
                <a:schemeClr val="tx1"/>
              </a:solidFill>
              <a:prstDash val="lgDashDot"/>
            </a:ln>
          </c:spPr>
          <c:marker>
            <c:symbol val="none"/>
          </c:marker>
          <c:xVal>
            <c:numRef>
              <c:f>Analysis!$AG$215:$AG$225</c:f>
              <c:numCache>
                <c:formatCode>0.0</c:formatCode>
                <c:ptCount val="11"/>
                <c:pt idx="0">
                  <c:v>120</c:v>
                </c:pt>
                <c:pt idx="1">
                  <c:v>190</c:v>
                </c:pt>
                <c:pt idx="3">
                  <c:v>120</c:v>
                </c:pt>
                <c:pt idx="4">
                  <c:v>190</c:v>
                </c:pt>
                <c:pt idx="6">
                  <c:v>120</c:v>
                </c:pt>
                <c:pt idx="7">
                  <c:v>120</c:v>
                </c:pt>
                <c:pt idx="9">
                  <c:v>160</c:v>
                </c:pt>
                <c:pt idx="10">
                  <c:v>160</c:v>
                </c:pt>
              </c:numCache>
            </c:numRef>
          </c:xVal>
          <c:yVal>
            <c:numRef>
              <c:f>Analysis!$AH$215:$AH$225</c:f>
              <c:numCache>
                <c:formatCode>0.00</c:formatCode>
                <c:ptCount val="11"/>
                <c:pt idx="0">
                  <c:v>3.8</c:v>
                </c:pt>
                <c:pt idx="1">
                  <c:v>3.8</c:v>
                </c:pt>
                <c:pt idx="3">
                  <c:v>-1.9</c:v>
                </c:pt>
                <c:pt idx="4">
                  <c:v>-1.9</c:v>
                </c:pt>
                <c:pt idx="6" formatCode="General">
                  <c:v>4.18</c:v>
                </c:pt>
                <c:pt idx="7" formatCode="General">
                  <c:v>-2.09</c:v>
                </c:pt>
                <c:pt idx="9" formatCode="General">
                  <c:v>4.9418219197204705</c:v>
                </c:pt>
                <c:pt idx="10" formatCode="General">
                  <c:v>-2.7508448332710422</c:v>
                </c:pt>
              </c:numCache>
            </c:numRef>
          </c:yVal>
          <c:smooth val="0"/>
          <c:extLst>
            <c:ext xmlns:c16="http://schemas.microsoft.com/office/drawing/2014/chart" uri="{C3380CC4-5D6E-409C-BE32-E72D297353CC}">
              <c16:uniqueId val="{0000000F-9DC7-4D26-B4BF-53539D03B2FC}"/>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min val="-3"/>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Analysis!$AB$251:$AB$257</c:f>
              <c:numCache>
                <c:formatCode>0.0</c:formatCode>
                <c:ptCount val="7"/>
                <c:pt idx="0">
                  <c:v>48.223350253807105</c:v>
                </c:pt>
                <c:pt idx="1">
                  <c:v>48.223350253807105</c:v>
                </c:pt>
                <c:pt idx="2" formatCode="General">
                  <c:v>0</c:v>
                </c:pt>
                <c:pt idx="4">
                  <c:v>48.223350253807105</c:v>
                </c:pt>
                <c:pt idx="5">
                  <c:v>48.223350253807105</c:v>
                </c:pt>
                <c:pt idx="6" formatCode="General">
                  <c:v>0</c:v>
                </c:pt>
              </c:numCache>
            </c:numRef>
          </c:xVal>
          <c:yVal>
            <c:numRef>
              <c:f>Analysis!$AC$251:$AC$257</c:f>
              <c:numCache>
                <c:formatCode>General</c:formatCode>
                <c:ptCount val="7"/>
                <c:pt idx="0">
                  <c:v>0</c:v>
                </c:pt>
                <c:pt idx="1">
                  <c:v>25.751269035532996</c:v>
                </c:pt>
                <c:pt idx="2">
                  <c:v>25.751269035532996</c:v>
                </c:pt>
                <c:pt idx="4">
                  <c:v>0</c:v>
                </c:pt>
                <c:pt idx="5">
                  <c:v>30.551269035532997</c:v>
                </c:pt>
                <c:pt idx="6">
                  <c:v>30.551269035532997</c:v>
                </c:pt>
              </c:numCache>
            </c:numRef>
          </c:yVal>
          <c:smooth val="0"/>
          <c:extLst>
            <c:ext xmlns:c16="http://schemas.microsoft.com/office/drawing/2014/chart" uri="{C3380CC4-5D6E-409C-BE32-E72D297353CC}">
              <c16:uniqueId val="{00000000-B5B9-41FC-B1AB-B2D17B9B1B0C}"/>
            </c:ext>
          </c:extLst>
        </c:ser>
        <c:ser>
          <c:idx val="4"/>
          <c:order val="1"/>
          <c:spPr>
            <a:ln w="19050" cap="rnd">
              <a:solidFill>
                <a:schemeClr val="tx1"/>
              </a:solidFill>
              <a:round/>
            </a:ln>
            <a:effectLst/>
          </c:spPr>
          <c:marker>
            <c:symbol val="none"/>
          </c:marker>
          <c:xVal>
            <c:numRef>
              <c:f>Analysis!$X$247:$X$271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Analysis!$Z$247:$Z$271</c:f>
              <c:numCache>
                <c:formatCode>General</c:formatCode>
                <c:ptCount val="25"/>
                <c:pt idx="3">
                  <c:v>9.6059999999999999</c:v>
                </c:pt>
                <c:pt idx="4">
                  <c:v>10.673999999999999</c:v>
                </c:pt>
                <c:pt idx="5">
                  <c:v>11.742000000000001</c:v>
                </c:pt>
                <c:pt idx="6">
                  <c:v>12.809999999999999</c:v>
                </c:pt>
                <c:pt idx="7">
                  <c:v>13.878</c:v>
                </c:pt>
                <c:pt idx="8">
                  <c:v>16.013999999999999</c:v>
                </c:pt>
                <c:pt idx="9">
                  <c:v>18.150000000000002</c:v>
                </c:pt>
                <c:pt idx="10">
                  <c:v>20.286000000000001</c:v>
                </c:pt>
                <c:pt idx="11">
                  <c:v>22.422000000000001</c:v>
                </c:pt>
                <c:pt idx="12">
                  <c:v>24.558000000000003</c:v>
                </c:pt>
                <c:pt idx="13">
                  <c:v>26.694000000000003</c:v>
                </c:pt>
                <c:pt idx="14">
                  <c:v>27.762</c:v>
                </c:pt>
                <c:pt idx="15">
                  <c:v>28.830000000000002</c:v>
                </c:pt>
                <c:pt idx="16">
                  <c:v>29.898000000000003</c:v>
                </c:pt>
                <c:pt idx="17">
                  <c:v>30.966000000000001</c:v>
                </c:pt>
                <c:pt idx="18">
                  <c:v>36.305999999999997</c:v>
                </c:pt>
                <c:pt idx="19">
                  <c:v>41.646000000000001</c:v>
                </c:pt>
                <c:pt idx="20">
                  <c:v>46.985999999999997</c:v>
                </c:pt>
                <c:pt idx="21">
                  <c:v>52.326000000000001</c:v>
                </c:pt>
                <c:pt idx="22">
                  <c:v>57.665999999999997</c:v>
                </c:pt>
                <c:pt idx="23">
                  <c:v>63.006</c:v>
                </c:pt>
                <c:pt idx="24">
                  <c:v>68.88</c:v>
                </c:pt>
              </c:numCache>
            </c:numRef>
          </c:yVal>
          <c:smooth val="0"/>
          <c:extLst>
            <c:ext xmlns:c16="http://schemas.microsoft.com/office/drawing/2014/chart" uri="{C3380CC4-5D6E-409C-BE32-E72D297353CC}">
              <c16:uniqueId val="{00000001-B5B9-41FC-B1AB-B2D17B9B1B0C}"/>
            </c:ext>
          </c:extLst>
        </c:ser>
        <c:ser>
          <c:idx val="5"/>
          <c:order val="2"/>
          <c:spPr>
            <a:ln w="19050" cap="rnd">
              <a:solidFill>
                <a:schemeClr val="tx1"/>
              </a:solidFill>
              <a:round/>
            </a:ln>
            <a:effectLst/>
          </c:spPr>
          <c:marker>
            <c:symbol val="none"/>
          </c:marker>
          <c:xVal>
            <c:numRef>
              <c:f>Analysis!$X$247:$X$271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Analysis!$Y$247:$Y$271</c:f>
              <c:numCache>
                <c:formatCode>General</c:formatCode>
                <c:ptCount val="25"/>
                <c:pt idx="3">
                  <c:v>10.98</c:v>
                </c:pt>
                <c:pt idx="4">
                  <c:v>12.138846732700763</c:v>
                </c:pt>
                <c:pt idx="5">
                  <c:v>13.196317668198201</c:v>
                </c:pt>
                <c:pt idx="6">
                  <c:v>14.175119047119146</c:v>
                </c:pt>
                <c:pt idx="7">
                  <c:v>15.090566589760638</c:v>
                </c:pt>
                <c:pt idx="8">
                  <c:v>16.772227043538376</c:v>
                </c:pt>
                <c:pt idx="9">
                  <c:v>18.3</c:v>
                </c:pt>
                <c:pt idx="10">
                  <c:v>19.709703194112283</c:v>
                </c:pt>
                <c:pt idx="11">
                  <c:v>21.025099286329187</c:v>
                </c:pt>
                <c:pt idx="12">
                  <c:v>22.262910860891484</c:v>
                </c:pt>
                <c:pt idx="13">
                  <c:v>23.435434709004227</c:v>
                </c:pt>
                <c:pt idx="14">
                  <c:v>24.000224998945324</c:v>
                </c:pt>
                <c:pt idx="15">
                  <c:v>24.552026392947692</c:v>
                </c:pt>
                <c:pt idx="16">
                  <c:v>25.098000000000003</c:v>
                </c:pt>
                <c:pt idx="17">
                  <c:v>26.166</c:v>
                </c:pt>
                <c:pt idx="18">
                  <c:v>31.506</c:v>
                </c:pt>
                <c:pt idx="19">
                  <c:v>36.846000000000004</c:v>
                </c:pt>
                <c:pt idx="20">
                  <c:v>42.186</c:v>
                </c:pt>
                <c:pt idx="21">
                  <c:v>47.526000000000003</c:v>
                </c:pt>
                <c:pt idx="22">
                  <c:v>52.866</c:v>
                </c:pt>
                <c:pt idx="23">
                  <c:v>58.206000000000003</c:v>
                </c:pt>
                <c:pt idx="24">
                  <c:v>64.08</c:v>
                </c:pt>
              </c:numCache>
            </c:numRef>
          </c:yVal>
          <c:smooth val="0"/>
          <c:extLst>
            <c:ext xmlns:c16="http://schemas.microsoft.com/office/drawing/2014/chart" uri="{C3380CC4-5D6E-409C-BE32-E72D297353CC}">
              <c16:uniqueId val="{00000002-B5B9-41FC-B1AB-B2D17B9B1B0C}"/>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Analysis!$AB$313:$AB$323</c:f>
              <c:numCache>
                <c:formatCode>0.0</c:formatCode>
                <c:ptCount val="11"/>
                <c:pt idx="0">
                  <c:v>48.223350253807105</c:v>
                </c:pt>
                <c:pt idx="1">
                  <c:v>48.223350253807105</c:v>
                </c:pt>
                <c:pt idx="2" formatCode="General">
                  <c:v>0</c:v>
                </c:pt>
                <c:pt idx="4">
                  <c:v>48.223350253807105</c:v>
                </c:pt>
                <c:pt idx="5">
                  <c:v>48.223350253807105</c:v>
                </c:pt>
                <c:pt idx="6" formatCode="General">
                  <c:v>0</c:v>
                </c:pt>
                <c:pt idx="8">
                  <c:v>48.223350253807105</c:v>
                </c:pt>
                <c:pt idx="9">
                  <c:v>48.223350253807105</c:v>
                </c:pt>
                <c:pt idx="10" formatCode="General">
                  <c:v>0</c:v>
                </c:pt>
              </c:numCache>
            </c:numRef>
          </c:xVal>
          <c:yVal>
            <c:numRef>
              <c:f>Analysis!$AC$313:$AC$323</c:f>
              <c:numCache>
                <c:formatCode>General</c:formatCode>
                <c:ptCount val="11"/>
                <c:pt idx="0">
                  <c:v>0</c:v>
                </c:pt>
                <c:pt idx="1">
                  <c:v>37.614213197969541</c:v>
                </c:pt>
                <c:pt idx="2">
                  <c:v>37.614213197969541</c:v>
                </c:pt>
                <c:pt idx="4">
                  <c:v>0</c:v>
                </c:pt>
                <c:pt idx="5">
                  <c:v>30.862944162436548</c:v>
                </c:pt>
                <c:pt idx="6">
                  <c:v>30.862944162436548</c:v>
                </c:pt>
                <c:pt idx="8">
                  <c:v>0</c:v>
                </c:pt>
                <c:pt idx="9">
                  <c:v>22.472081218274113</c:v>
                </c:pt>
                <c:pt idx="10">
                  <c:v>22.472081218274113</c:v>
                </c:pt>
              </c:numCache>
            </c:numRef>
          </c:yVal>
          <c:smooth val="0"/>
          <c:extLst>
            <c:ext xmlns:c16="http://schemas.microsoft.com/office/drawing/2014/chart" uri="{C3380CC4-5D6E-409C-BE32-E72D297353CC}">
              <c16:uniqueId val="{00000000-DAC8-4D86-86BE-0E4A150FEDC2}"/>
            </c:ext>
          </c:extLst>
        </c:ser>
        <c:ser>
          <c:idx val="4"/>
          <c:order val="1"/>
          <c:spPr>
            <a:ln w="19050" cap="rnd">
              <a:solidFill>
                <a:schemeClr val="tx1"/>
              </a:solidFill>
              <a:round/>
            </a:ln>
            <a:effectLst/>
          </c:spPr>
          <c:marker>
            <c:symbol val="none"/>
          </c:marker>
          <c:xVal>
            <c:numRef>
              <c:f>Analysis!$X$309:$X$333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Analysis!$Z$309:$Z$333</c:f>
              <c:numCache>
                <c:formatCode>General</c:formatCode>
                <c:ptCount val="25"/>
                <c:pt idx="0">
                  <c:v>0</c:v>
                </c:pt>
                <c:pt idx="1">
                  <c:v>3.2</c:v>
                </c:pt>
                <c:pt idx="2">
                  <c:v>4.4800000000000004</c:v>
                </c:pt>
                <c:pt idx="3">
                  <c:v>5.76</c:v>
                </c:pt>
                <c:pt idx="4">
                  <c:v>7.04</c:v>
                </c:pt>
                <c:pt idx="5">
                  <c:v>8.32</c:v>
                </c:pt>
                <c:pt idx="6">
                  <c:v>9.6</c:v>
                </c:pt>
                <c:pt idx="7">
                  <c:v>10.88</c:v>
                </c:pt>
                <c:pt idx="8">
                  <c:v>13.44</c:v>
                </c:pt>
                <c:pt idx="9">
                  <c:v>16</c:v>
                </c:pt>
                <c:pt idx="10">
                  <c:v>18.559999999999999</c:v>
                </c:pt>
                <c:pt idx="11">
                  <c:v>21.12</c:v>
                </c:pt>
                <c:pt idx="12">
                  <c:v>23.68</c:v>
                </c:pt>
                <c:pt idx="13">
                  <c:v>26.240000000000002</c:v>
                </c:pt>
                <c:pt idx="14">
                  <c:v>27.52</c:v>
                </c:pt>
                <c:pt idx="15">
                  <c:v>28.8</c:v>
                </c:pt>
                <c:pt idx="16">
                  <c:v>30.080000000000002</c:v>
                </c:pt>
                <c:pt idx="17">
                  <c:v>31.36</c:v>
                </c:pt>
                <c:pt idx="18">
                  <c:v>37.76</c:v>
                </c:pt>
                <c:pt idx="19">
                  <c:v>44.160000000000004</c:v>
                </c:pt>
                <c:pt idx="20">
                  <c:v>50.56</c:v>
                </c:pt>
                <c:pt idx="21">
                  <c:v>56.96</c:v>
                </c:pt>
                <c:pt idx="22">
                  <c:v>63.36</c:v>
                </c:pt>
                <c:pt idx="23">
                  <c:v>69.760000000000005</c:v>
                </c:pt>
                <c:pt idx="24">
                  <c:v>76.8</c:v>
                </c:pt>
              </c:numCache>
            </c:numRef>
          </c:yVal>
          <c:smooth val="0"/>
          <c:extLst>
            <c:ext xmlns:c16="http://schemas.microsoft.com/office/drawing/2014/chart" uri="{C3380CC4-5D6E-409C-BE32-E72D297353CC}">
              <c16:uniqueId val="{00000001-DAC8-4D86-86BE-0E4A150FEDC2}"/>
            </c:ext>
          </c:extLst>
        </c:ser>
        <c:ser>
          <c:idx val="5"/>
          <c:order val="2"/>
          <c:spPr>
            <a:ln w="19050" cap="rnd">
              <a:solidFill>
                <a:schemeClr val="tx1"/>
              </a:solidFill>
              <a:round/>
            </a:ln>
            <a:effectLst/>
          </c:spPr>
          <c:marker>
            <c:symbol val="none"/>
          </c:marker>
          <c:xVal>
            <c:numRef>
              <c:f>Analysis!$X$309:$X$333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Analysis!$Y$309:$Y$333</c:f>
              <c:numCache>
                <c:formatCode>General</c:formatCode>
                <c:ptCount val="25"/>
                <c:pt idx="0">
                  <c:v>0</c:v>
                </c:pt>
                <c:pt idx="1">
                  <c:v>3.9000000000000004</c:v>
                </c:pt>
                <c:pt idx="2">
                  <c:v>5.46</c:v>
                </c:pt>
                <c:pt idx="3">
                  <c:v>7.0200000000000005</c:v>
                </c:pt>
                <c:pt idx="4">
                  <c:v>8.58</c:v>
                </c:pt>
                <c:pt idx="5">
                  <c:v>10.14</c:v>
                </c:pt>
                <c:pt idx="6">
                  <c:v>11.700000000000001</c:v>
                </c:pt>
                <c:pt idx="7">
                  <c:v>13.26</c:v>
                </c:pt>
                <c:pt idx="8">
                  <c:v>16.38</c:v>
                </c:pt>
                <c:pt idx="9">
                  <c:v>19.5</c:v>
                </c:pt>
                <c:pt idx="10">
                  <c:v>22.62</c:v>
                </c:pt>
                <c:pt idx="11">
                  <c:v>25.740000000000002</c:v>
                </c:pt>
                <c:pt idx="12">
                  <c:v>28.86</c:v>
                </c:pt>
                <c:pt idx="13">
                  <c:v>31.98</c:v>
                </c:pt>
                <c:pt idx="14">
                  <c:v>33.54</c:v>
                </c:pt>
                <c:pt idx="15">
                  <c:v>35.1</c:v>
                </c:pt>
                <c:pt idx="16">
                  <c:v>36.660000000000004</c:v>
                </c:pt>
                <c:pt idx="17">
                  <c:v>38.22</c:v>
                </c:pt>
                <c:pt idx="18">
                  <c:v>46.02</c:v>
                </c:pt>
                <c:pt idx="19">
                  <c:v>53.82</c:v>
                </c:pt>
                <c:pt idx="20">
                  <c:v>61.620000000000005</c:v>
                </c:pt>
                <c:pt idx="21">
                  <c:v>69.42</c:v>
                </c:pt>
                <c:pt idx="22">
                  <c:v>77.22</c:v>
                </c:pt>
                <c:pt idx="23">
                  <c:v>85.02</c:v>
                </c:pt>
                <c:pt idx="24">
                  <c:v>93.600000000000009</c:v>
                </c:pt>
              </c:numCache>
            </c:numRef>
          </c:yVal>
          <c:smooth val="0"/>
          <c:extLst>
            <c:ext xmlns:c16="http://schemas.microsoft.com/office/drawing/2014/chart" uri="{C3380CC4-5D6E-409C-BE32-E72D297353CC}">
              <c16:uniqueId val="{00000002-DAC8-4D86-86BE-0E4A150FEDC2}"/>
            </c:ext>
          </c:extLst>
        </c:ser>
        <c:ser>
          <c:idx val="0"/>
          <c:order val="3"/>
          <c:spPr>
            <a:ln w="19050" cap="rnd">
              <a:solidFill>
                <a:schemeClr val="tx1"/>
              </a:solidFill>
              <a:round/>
            </a:ln>
            <a:effectLst/>
          </c:spPr>
          <c:marker>
            <c:symbol val="none"/>
          </c:marker>
          <c:xVal>
            <c:numRef>
              <c:f>Analysis!$X$309:$X$333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Analysis!$AA$309:$AA$333</c:f>
              <c:numCache>
                <c:formatCode>General</c:formatCode>
                <c:ptCount val="25"/>
                <c:pt idx="0">
                  <c:v>0</c:v>
                </c:pt>
                <c:pt idx="1">
                  <c:v>2.33</c:v>
                </c:pt>
                <c:pt idx="2">
                  <c:v>3.262</c:v>
                </c:pt>
                <c:pt idx="3">
                  <c:v>4.194</c:v>
                </c:pt>
                <c:pt idx="4">
                  <c:v>5.1260000000000003</c:v>
                </c:pt>
                <c:pt idx="5">
                  <c:v>6.0580000000000007</c:v>
                </c:pt>
                <c:pt idx="6">
                  <c:v>6.99</c:v>
                </c:pt>
                <c:pt idx="7">
                  <c:v>7.9220000000000006</c:v>
                </c:pt>
                <c:pt idx="8">
                  <c:v>9.7860000000000014</c:v>
                </c:pt>
                <c:pt idx="9">
                  <c:v>11.65</c:v>
                </c:pt>
                <c:pt idx="10">
                  <c:v>13.514000000000001</c:v>
                </c:pt>
                <c:pt idx="11">
                  <c:v>15.378</c:v>
                </c:pt>
                <c:pt idx="12">
                  <c:v>17.242000000000001</c:v>
                </c:pt>
                <c:pt idx="13">
                  <c:v>19.106000000000002</c:v>
                </c:pt>
                <c:pt idx="14">
                  <c:v>20.038</c:v>
                </c:pt>
                <c:pt idx="15">
                  <c:v>20.970000000000002</c:v>
                </c:pt>
                <c:pt idx="16">
                  <c:v>21.902000000000001</c:v>
                </c:pt>
                <c:pt idx="17">
                  <c:v>22.834</c:v>
                </c:pt>
                <c:pt idx="18">
                  <c:v>27.494</c:v>
                </c:pt>
                <c:pt idx="19">
                  <c:v>32.154000000000003</c:v>
                </c:pt>
                <c:pt idx="20">
                  <c:v>36.814</c:v>
                </c:pt>
                <c:pt idx="21">
                  <c:v>41.474000000000004</c:v>
                </c:pt>
                <c:pt idx="22">
                  <c:v>46.134</c:v>
                </c:pt>
                <c:pt idx="23">
                  <c:v>50.794000000000004</c:v>
                </c:pt>
                <c:pt idx="24">
                  <c:v>55.92</c:v>
                </c:pt>
              </c:numCache>
            </c:numRef>
          </c:yVal>
          <c:smooth val="0"/>
          <c:extLst>
            <c:ext xmlns:c16="http://schemas.microsoft.com/office/drawing/2014/chart" uri="{C3380CC4-5D6E-409C-BE32-E72D297353CC}">
              <c16:uniqueId val="{00000003-DAC8-4D86-86BE-0E4A150FEDC2}"/>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chart" Target="../charts/chart4.xml"/><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chart" Target="../charts/chart3.xml"/><Relationship Id="rId11" Type="http://schemas.openxmlformats.org/officeDocument/2006/relationships/chart" Target="../charts/chart6.xml"/><Relationship Id="rId5" Type="http://schemas.openxmlformats.org/officeDocument/2006/relationships/chart" Target="../charts/chart2.xml"/><Relationship Id="rId15" Type="http://schemas.openxmlformats.org/officeDocument/2006/relationships/image" Target="../media/image2.gif"/><Relationship Id="rId10" Type="http://schemas.openxmlformats.org/officeDocument/2006/relationships/chart" Target="../charts/chart5.xml"/><Relationship Id="rId4" Type="http://schemas.openxmlformats.org/officeDocument/2006/relationships/chart" Target="../charts/chart1.xml"/><Relationship Id="rId9" Type="http://schemas.openxmlformats.org/officeDocument/2006/relationships/image" Target="../media/image8.png"/><Relationship Id="rId1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57276131-0475-412B-BB2F-DE71F57A349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ECB257D4-B624-4716-9AAA-F0BD985ABB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585106</xdr:colOff>
      <xdr:row>85</xdr:row>
      <xdr:rowOff>65314</xdr:rowOff>
    </xdr:from>
    <xdr:to>
      <xdr:col>51</xdr:col>
      <xdr:colOff>203704</xdr:colOff>
      <xdr:row>110</xdr:row>
      <xdr:rowOff>87085</xdr:rowOff>
    </xdr:to>
    <xdr:pic>
      <xdr:nvPicPr>
        <xdr:cNvPr id="2" name="Picture 1">
          <a:extLst>
            <a:ext uri="{FF2B5EF4-FFF2-40B4-BE49-F238E27FC236}">
              <a16:creationId xmlns:a16="http://schemas.microsoft.com/office/drawing/2014/main" id="{6632738A-64AD-4941-9B82-0D686EFAD96C}"/>
            </a:ext>
          </a:extLst>
        </xdr:cNvPr>
        <xdr:cNvPicPr>
          <a:picLocks noChangeAspect="1"/>
        </xdr:cNvPicPr>
      </xdr:nvPicPr>
      <xdr:blipFill>
        <a:blip xmlns:r="http://schemas.openxmlformats.org/officeDocument/2006/relationships" r:embed="rId1"/>
        <a:stretch>
          <a:fillRect/>
        </a:stretch>
      </xdr:blipFill>
      <xdr:spPr>
        <a:xfrm>
          <a:off x="23921356" y="13266964"/>
          <a:ext cx="4495398" cy="4069896"/>
        </a:xfrm>
        <a:prstGeom prst="rect">
          <a:avLst/>
        </a:prstGeom>
      </xdr:spPr>
    </xdr:pic>
    <xdr:clientData/>
  </xdr:twoCellAnchor>
  <xdr:twoCellAnchor editAs="oneCell">
    <xdr:from>
      <xdr:col>39</xdr:col>
      <xdr:colOff>0</xdr:colOff>
      <xdr:row>15</xdr:row>
      <xdr:rowOff>57150</xdr:rowOff>
    </xdr:from>
    <xdr:to>
      <xdr:col>47</xdr:col>
      <xdr:colOff>7543</xdr:colOff>
      <xdr:row>29</xdr:row>
      <xdr:rowOff>45027</xdr:rowOff>
    </xdr:to>
    <xdr:pic>
      <xdr:nvPicPr>
        <xdr:cNvPr id="3" name="Picture 2">
          <a:extLst>
            <a:ext uri="{FF2B5EF4-FFF2-40B4-BE49-F238E27FC236}">
              <a16:creationId xmlns:a16="http://schemas.microsoft.com/office/drawing/2014/main" id="{904F4D39-722A-48E3-86A0-1F493D0097F8}"/>
            </a:ext>
          </a:extLst>
        </xdr:cNvPr>
        <xdr:cNvPicPr>
          <a:picLocks noChangeAspect="1"/>
        </xdr:cNvPicPr>
      </xdr:nvPicPr>
      <xdr:blipFill>
        <a:blip xmlns:r="http://schemas.openxmlformats.org/officeDocument/2006/relationships" r:embed="rId2"/>
        <a:stretch>
          <a:fillRect/>
        </a:stretch>
      </xdr:blipFill>
      <xdr:spPr>
        <a:xfrm>
          <a:off x="20897850" y="2524125"/>
          <a:ext cx="4884343" cy="2302452"/>
        </a:xfrm>
        <a:prstGeom prst="rect">
          <a:avLst/>
        </a:prstGeom>
      </xdr:spPr>
    </xdr:pic>
    <xdr:clientData/>
  </xdr:twoCellAnchor>
  <xdr:twoCellAnchor editAs="oneCell">
    <xdr:from>
      <xdr:col>40</xdr:col>
      <xdr:colOff>586673</xdr:colOff>
      <xdr:row>44</xdr:row>
      <xdr:rowOff>170140</xdr:rowOff>
    </xdr:from>
    <xdr:to>
      <xdr:col>50</xdr:col>
      <xdr:colOff>158431</xdr:colOff>
      <xdr:row>65</xdr:row>
      <xdr:rowOff>97071</xdr:rowOff>
    </xdr:to>
    <xdr:pic>
      <xdr:nvPicPr>
        <xdr:cNvPr id="4" name="Picture 3">
          <a:extLst>
            <a:ext uri="{FF2B5EF4-FFF2-40B4-BE49-F238E27FC236}">
              <a16:creationId xmlns:a16="http://schemas.microsoft.com/office/drawing/2014/main" id="{C5BD483F-EBD7-498D-86A1-4E78F01256FA}"/>
            </a:ext>
          </a:extLst>
        </xdr:cNvPr>
        <xdr:cNvPicPr>
          <a:picLocks noChangeAspect="1"/>
        </xdr:cNvPicPr>
      </xdr:nvPicPr>
      <xdr:blipFill>
        <a:blip xmlns:r="http://schemas.openxmlformats.org/officeDocument/2006/relationships" r:embed="rId3"/>
        <a:stretch>
          <a:fillRect/>
        </a:stretch>
      </xdr:blipFill>
      <xdr:spPr>
        <a:xfrm>
          <a:off x="22094123" y="7428190"/>
          <a:ext cx="5667758" cy="3379951"/>
        </a:xfrm>
        <a:prstGeom prst="rect">
          <a:avLst/>
        </a:prstGeom>
      </xdr:spPr>
    </xdr:pic>
    <xdr:clientData/>
  </xdr:twoCellAnchor>
  <xdr:twoCellAnchor>
    <xdr:from>
      <xdr:col>1</xdr:col>
      <xdr:colOff>0</xdr:colOff>
      <xdr:row>82</xdr:row>
      <xdr:rowOff>0</xdr:rowOff>
    </xdr:from>
    <xdr:to>
      <xdr:col>10</xdr:col>
      <xdr:colOff>0</xdr:colOff>
      <xdr:row>101</xdr:row>
      <xdr:rowOff>0</xdr:rowOff>
    </xdr:to>
    <xdr:graphicFrame macro="">
      <xdr:nvGraphicFramePr>
        <xdr:cNvPr id="5" name="Chart 4">
          <a:extLst>
            <a:ext uri="{FF2B5EF4-FFF2-40B4-BE49-F238E27FC236}">
              <a16:creationId xmlns:a16="http://schemas.microsoft.com/office/drawing/2014/main" id="{A489B63C-E652-41AB-AB75-54D81202E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xdr:col>
      <xdr:colOff>375138</xdr:colOff>
      <xdr:row>88</xdr:row>
      <xdr:rowOff>93784</xdr:rowOff>
    </xdr:from>
    <xdr:ext cx="363241" cy="264560"/>
    <xdr:sp macro="" textlink="">
      <xdr:nvSpPr>
        <xdr:cNvPr id="6" name="TextBox 5">
          <a:extLst>
            <a:ext uri="{FF2B5EF4-FFF2-40B4-BE49-F238E27FC236}">
              <a16:creationId xmlns:a16="http://schemas.microsoft.com/office/drawing/2014/main" id="{5D507A78-BA98-47D8-9837-628315D80283}"/>
            </a:ext>
          </a:extLst>
        </xdr:cNvPr>
        <xdr:cNvSpPr txBox="1"/>
      </xdr:nvSpPr>
      <xdr:spPr>
        <a:xfrm>
          <a:off x="984738" y="13781209"/>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clientData/>
  </xdr:oneCellAnchor>
  <xdr:oneCellAnchor>
    <xdr:from>
      <xdr:col>1</xdr:col>
      <xdr:colOff>375138</xdr:colOff>
      <xdr:row>87</xdr:row>
      <xdr:rowOff>76200</xdr:rowOff>
    </xdr:from>
    <xdr:ext cx="363241" cy="264560"/>
    <xdr:sp macro="" textlink="">
      <xdr:nvSpPr>
        <xdr:cNvPr id="7" name="TextBox 6">
          <a:extLst>
            <a:ext uri="{FF2B5EF4-FFF2-40B4-BE49-F238E27FC236}">
              <a16:creationId xmlns:a16="http://schemas.microsoft.com/office/drawing/2014/main" id="{383E43B5-EA5C-4668-8D50-2D6F9B53F9EA}"/>
            </a:ext>
          </a:extLst>
        </xdr:cNvPr>
        <xdr:cNvSpPr txBox="1"/>
      </xdr:nvSpPr>
      <xdr:spPr>
        <a:xfrm>
          <a:off x="984738" y="13601700"/>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clientData/>
  </xdr:oneCellAnchor>
  <xdr:oneCellAnchor>
    <xdr:from>
      <xdr:col>1</xdr:col>
      <xdr:colOff>375138</xdr:colOff>
      <xdr:row>86</xdr:row>
      <xdr:rowOff>64477</xdr:rowOff>
    </xdr:from>
    <xdr:ext cx="363241" cy="264560"/>
    <xdr:sp macro="" textlink="">
      <xdr:nvSpPr>
        <xdr:cNvPr id="8" name="TextBox 7">
          <a:extLst>
            <a:ext uri="{FF2B5EF4-FFF2-40B4-BE49-F238E27FC236}">
              <a16:creationId xmlns:a16="http://schemas.microsoft.com/office/drawing/2014/main" id="{2CEBAF69-6347-4990-98FD-6ABF0B562B4F}"/>
            </a:ext>
          </a:extLst>
        </xdr:cNvPr>
        <xdr:cNvSpPr txBox="1"/>
      </xdr:nvSpPr>
      <xdr:spPr>
        <a:xfrm>
          <a:off x="984738" y="13428052"/>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clientData/>
  </xdr:oneCellAnchor>
  <xdr:oneCellAnchor>
    <xdr:from>
      <xdr:col>1</xdr:col>
      <xdr:colOff>375138</xdr:colOff>
      <xdr:row>85</xdr:row>
      <xdr:rowOff>35170</xdr:rowOff>
    </xdr:from>
    <xdr:ext cx="363241" cy="264560"/>
    <xdr:sp macro="" textlink="">
      <xdr:nvSpPr>
        <xdr:cNvPr id="9" name="TextBox 8">
          <a:extLst>
            <a:ext uri="{FF2B5EF4-FFF2-40B4-BE49-F238E27FC236}">
              <a16:creationId xmlns:a16="http://schemas.microsoft.com/office/drawing/2014/main" id="{0C047816-160C-4D7B-8F7B-B92183176C4C}"/>
            </a:ext>
          </a:extLst>
        </xdr:cNvPr>
        <xdr:cNvSpPr txBox="1"/>
      </xdr:nvSpPr>
      <xdr:spPr>
        <a:xfrm>
          <a:off x="984738" y="13236820"/>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clientData/>
  </xdr:oneCellAnchor>
  <xdr:oneCellAnchor>
    <xdr:from>
      <xdr:col>1</xdr:col>
      <xdr:colOff>375138</xdr:colOff>
      <xdr:row>84</xdr:row>
      <xdr:rowOff>23447</xdr:rowOff>
    </xdr:from>
    <xdr:ext cx="363241" cy="264560"/>
    <xdr:sp macro="" textlink="">
      <xdr:nvSpPr>
        <xdr:cNvPr id="10" name="TextBox 9">
          <a:extLst>
            <a:ext uri="{FF2B5EF4-FFF2-40B4-BE49-F238E27FC236}">
              <a16:creationId xmlns:a16="http://schemas.microsoft.com/office/drawing/2014/main" id="{C65E55BB-D2B7-4830-97D6-4B0A08E0787F}"/>
            </a:ext>
          </a:extLst>
        </xdr:cNvPr>
        <xdr:cNvSpPr txBox="1"/>
      </xdr:nvSpPr>
      <xdr:spPr>
        <a:xfrm>
          <a:off x="984738" y="13063172"/>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clientData/>
  </xdr:oneCellAnchor>
  <xdr:oneCellAnchor>
    <xdr:from>
      <xdr:col>1</xdr:col>
      <xdr:colOff>375138</xdr:colOff>
      <xdr:row>82</xdr:row>
      <xdr:rowOff>152400</xdr:rowOff>
    </xdr:from>
    <xdr:ext cx="363241" cy="264560"/>
    <xdr:sp macro="" textlink="">
      <xdr:nvSpPr>
        <xdr:cNvPr id="11" name="TextBox 10">
          <a:extLst>
            <a:ext uri="{FF2B5EF4-FFF2-40B4-BE49-F238E27FC236}">
              <a16:creationId xmlns:a16="http://schemas.microsoft.com/office/drawing/2014/main" id="{3D1C2454-CC50-4A24-BD34-61F006627712}"/>
            </a:ext>
          </a:extLst>
        </xdr:cNvPr>
        <xdr:cNvSpPr txBox="1"/>
      </xdr:nvSpPr>
      <xdr:spPr>
        <a:xfrm>
          <a:off x="984738" y="12868275"/>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clientData/>
  </xdr:oneCellAnchor>
  <xdr:twoCellAnchor>
    <xdr:from>
      <xdr:col>1</xdr:col>
      <xdr:colOff>0</xdr:colOff>
      <xdr:row>139</xdr:row>
      <xdr:rowOff>0</xdr:rowOff>
    </xdr:from>
    <xdr:to>
      <xdr:col>10</xdr:col>
      <xdr:colOff>0</xdr:colOff>
      <xdr:row>158</xdr:row>
      <xdr:rowOff>0</xdr:rowOff>
    </xdr:to>
    <xdr:graphicFrame macro="">
      <xdr:nvGraphicFramePr>
        <xdr:cNvPr id="12" name="Chart 11">
          <a:extLst>
            <a:ext uri="{FF2B5EF4-FFF2-40B4-BE49-F238E27FC236}">
              <a16:creationId xmlns:a16="http://schemas.microsoft.com/office/drawing/2014/main" id="{FCFDEB47-00F5-4AD1-901C-594CADC90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375138</xdr:colOff>
      <xdr:row>140</xdr:row>
      <xdr:rowOff>39187</xdr:rowOff>
    </xdr:from>
    <xdr:to>
      <xdr:col>2</xdr:col>
      <xdr:colOff>98299</xdr:colOff>
      <xdr:row>147</xdr:row>
      <xdr:rowOff>153689</xdr:rowOff>
    </xdr:to>
    <xdr:grpSp>
      <xdr:nvGrpSpPr>
        <xdr:cNvPr id="13" name="Group 12">
          <a:extLst>
            <a:ext uri="{FF2B5EF4-FFF2-40B4-BE49-F238E27FC236}">
              <a16:creationId xmlns:a16="http://schemas.microsoft.com/office/drawing/2014/main" id="{C2030D50-F2DF-4843-964C-9DF7CFF7D4CA}"/>
            </a:ext>
          </a:extLst>
        </xdr:cNvPr>
        <xdr:cNvGrpSpPr/>
      </xdr:nvGrpSpPr>
      <xdr:grpSpPr>
        <a:xfrm>
          <a:off x="988051" y="23503817"/>
          <a:ext cx="344357" cy="1274068"/>
          <a:chOff x="1002155" y="22964501"/>
          <a:chExt cx="363241" cy="1250972"/>
        </a:xfrm>
      </xdr:grpSpPr>
      <xdr:sp macro="" textlink="">
        <xdr:nvSpPr>
          <xdr:cNvPr id="14" name="TextBox 13">
            <a:extLst>
              <a:ext uri="{FF2B5EF4-FFF2-40B4-BE49-F238E27FC236}">
                <a16:creationId xmlns:a16="http://schemas.microsoft.com/office/drawing/2014/main" id="{205D4899-1843-44CC-A24B-4C858FD21CC8}"/>
              </a:ext>
            </a:extLst>
          </xdr:cNvPr>
          <xdr:cNvSpPr txBox="1"/>
        </xdr:nvSpPr>
        <xdr:spPr>
          <a:xfrm>
            <a:off x="1002155" y="23950913"/>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sp macro="" textlink="">
        <xdr:nvSpPr>
          <xdr:cNvPr id="15" name="TextBox 14">
            <a:extLst>
              <a:ext uri="{FF2B5EF4-FFF2-40B4-BE49-F238E27FC236}">
                <a16:creationId xmlns:a16="http://schemas.microsoft.com/office/drawing/2014/main" id="{91516BD4-CC88-4483-BFCC-1107EBF3E3A0}"/>
              </a:ext>
            </a:extLst>
          </xdr:cNvPr>
          <xdr:cNvSpPr txBox="1"/>
        </xdr:nvSpPr>
        <xdr:spPr>
          <a:xfrm>
            <a:off x="1002155" y="23759158"/>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sp macro="" textlink="">
        <xdr:nvSpPr>
          <xdr:cNvPr id="16" name="TextBox 15">
            <a:extLst>
              <a:ext uri="{FF2B5EF4-FFF2-40B4-BE49-F238E27FC236}">
                <a16:creationId xmlns:a16="http://schemas.microsoft.com/office/drawing/2014/main" id="{DE76A232-7092-4D70-9C96-39AA88577487}"/>
              </a:ext>
            </a:extLst>
          </xdr:cNvPr>
          <xdr:cNvSpPr txBox="1"/>
        </xdr:nvSpPr>
        <xdr:spPr>
          <a:xfrm>
            <a:off x="1002155" y="23573264"/>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sp macro="" textlink="">
        <xdr:nvSpPr>
          <xdr:cNvPr id="17" name="TextBox 16">
            <a:extLst>
              <a:ext uri="{FF2B5EF4-FFF2-40B4-BE49-F238E27FC236}">
                <a16:creationId xmlns:a16="http://schemas.microsoft.com/office/drawing/2014/main" id="{3E2D51C3-58A9-4686-8301-DF002818E450}"/>
              </a:ext>
            </a:extLst>
          </xdr:cNvPr>
          <xdr:cNvSpPr txBox="1"/>
        </xdr:nvSpPr>
        <xdr:spPr>
          <a:xfrm>
            <a:off x="1002155" y="23369785"/>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sp macro="" textlink="">
        <xdr:nvSpPr>
          <xdr:cNvPr id="18" name="TextBox 17">
            <a:extLst>
              <a:ext uri="{FF2B5EF4-FFF2-40B4-BE49-F238E27FC236}">
                <a16:creationId xmlns:a16="http://schemas.microsoft.com/office/drawing/2014/main" id="{6FBF3BA2-984A-4B4E-9C31-C8CCC119D098}"/>
              </a:ext>
            </a:extLst>
          </xdr:cNvPr>
          <xdr:cNvSpPr txBox="1"/>
        </xdr:nvSpPr>
        <xdr:spPr>
          <a:xfrm>
            <a:off x="1002155" y="2318389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sp macro="" textlink="">
        <xdr:nvSpPr>
          <xdr:cNvPr id="19" name="TextBox 18">
            <a:extLst>
              <a:ext uri="{FF2B5EF4-FFF2-40B4-BE49-F238E27FC236}">
                <a16:creationId xmlns:a16="http://schemas.microsoft.com/office/drawing/2014/main" id="{033BE7E8-1055-46E2-8138-CC15C68B53DD}"/>
              </a:ext>
            </a:extLst>
          </xdr:cNvPr>
          <xdr:cNvSpPr txBox="1"/>
        </xdr:nvSpPr>
        <xdr:spPr>
          <a:xfrm>
            <a:off x="1002155" y="2296450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grpSp>
    <xdr:clientData/>
  </xdr:twoCellAnchor>
  <xdr:twoCellAnchor>
    <xdr:from>
      <xdr:col>1</xdr:col>
      <xdr:colOff>0</xdr:colOff>
      <xdr:row>185</xdr:row>
      <xdr:rowOff>19050</xdr:rowOff>
    </xdr:from>
    <xdr:to>
      <xdr:col>10</xdr:col>
      <xdr:colOff>1957</xdr:colOff>
      <xdr:row>205</xdr:row>
      <xdr:rowOff>0</xdr:rowOff>
    </xdr:to>
    <xdr:graphicFrame macro="">
      <xdr:nvGraphicFramePr>
        <xdr:cNvPr id="20" name="Chart 19">
          <a:extLst>
            <a:ext uri="{FF2B5EF4-FFF2-40B4-BE49-F238E27FC236}">
              <a16:creationId xmlns:a16="http://schemas.microsoft.com/office/drawing/2014/main" id="{ECB8FCEF-A570-4BB9-837F-89AE5A130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207</xdr:row>
      <xdr:rowOff>19050</xdr:rowOff>
    </xdr:from>
    <xdr:to>
      <xdr:col>10</xdr:col>
      <xdr:colOff>571</xdr:colOff>
      <xdr:row>228</xdr:row>
      <xdr:rowOff>0</xdr:rowOff>
    </xdr:to>
    <xdr:graphicFrame macro="">
      <xdr:nvGraphicFramePr>
        <xdr:cNvPr id="21" name="Chart 20">
          <a:extLst>
            <a:ext uri="{FF2B5EF4-FFF2-40B4-BE49-F238E27FC236}">
              <a16:creationId xmlns:a16="http://schemas.microsoft.com/office/drawing/2014/main" id="{AAA30484-EB53-4FCE-805D-B22672526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31</xdr:col>
      <xdr:colOff>13855</xdr:colOff>
      <xdr:row>227</xdr:row>
      <xdr:rowOff>55419</xdr:rowOff>
    </xdr:from>
    <xdr:to>
      <xdr:col>40</xdr:col>
      <xdr:colOff>337214</xdr:colOff>
      <xdr:row>250</xdr:row>
      <xdr:rowOff>54293</xdr:rowOff>
    </xdr:to>
    <xdr:pic>
      <xdr:nvPicPr>
        <xdr:cNvPr id="22" name="Picture 21">
          <a:extLst>
            <a:ext uri="{FF2B5EF4-FFF2-40B4-BE49-F238E27FC236}">
              <a16:creationId xmlns:a16="http://schemas.microsoft.com/office/drawing/2014/main" id="{8F4F3818-0AC4-44A6-8E39-875F621AE9AF}"/>
            </a:ext>
          </a:extLst>
        </xdr:cNvPr>
        <xdr:cNvPicPr>
          <a:picLocks noChangeAspect="1"/>
        </xdr:cNvPicPr>
      </xdr:nvPicPr>
      <xdr:blipFill>
        <a:blip xmlns:r="http://schemas.openxmlformats.org/officeDocument/2006/relationships" r:embed="rId8"/>
        <a:stretch>
          <a:fillRect/>
        </a:stretch>
      </xdr:blipFill>
      <xdr:spPr>
        <a:xfrm>
          <a:off x="16034905" y="34754994"/>
          <a:ext cx="5809759" cy="3770774"/>
        </a:xfrm>
        <a:prstGeom prst="rect">
          <a:avLst/>
        </a:prstGeom>
      </xdr:spPr>
    </xdr:pic>
    <xdr:clientData/>
  </xdr:twoCellAnchor>
  <xdr:twoCellAnchor editAs="oneCell">
    <xdr:from>
      <xdr:col>30</xdr:col>
      <xdr:colOff>40834</xdr:colOff>
      <xdr:row>300</xdr:row>
      <xdr:rowOff>156011</xdr:rowOff>
    </xdr:from>
    <xdr:to>
      <xdr:col>39</xdr:col>
      <xdr:colOff>246937</xdr:colOff>
      <xdr:row>325</xdr:row>
      <xdr:rowOff>19327</xdr:rowOff>
    </xdr:to>
    <xdr:pic>
      <xdr:nvPicPr>
        <xdr:cNvPr id="23" name="Picture 22">
          <a:extLst>
            <a:ext uri="{FF2B5EF4-FFF2-40B4-BE49-F238E27FC236}">
              <a16:creationId xmlns:a16="http://schemas.microsoft.com/office/drawing/2014/main" id="{24791423-C54D-4769-AC71-F0A4DB59F770}"/>
            </a:ext>
          </a:extLst>
        </xdr:cNvPr>
        <xdr:cNvPicPr>
          <a:picLocks noChangeAspect="1"/>
        </xdr:cNvPicPr>
      </xdr:nvPicPr>
      <xdr:blipFill>
        <a:blip xmlns:r="http://schemas.openxmlformats.org/officeDocument/2006/relationships" r:embed="rId9"/>
        <a:stretch>
          <a:fillRect/>
        </a:stretch>
      </xdr:blipFill>
      <xdr:spPr>
        <a:xfrm>
          <a:off x="15452284" y="45104486"/>
          <a:ext cx="5692503" cy="3959066"/>
        </a:xfrm>
        <a:prstGeom prst="rect">
          <a:avLst/>
        </a:prstGeom>
      </xdr:spPr>
    </xdr:pic>
    <xdr:clientData/>
  </xdr:twoCellAnchor>
  <xdr:twoCellAnchor>
    <xdr:from>
      <xdr:col>1</xdr:col>
      <xdr:colOff>0</xdr:colOff>
      <xdr:row>249</xdr:row>
      <xdr:rowOff>173875</xdr:rowOff>
    </xdr:from>
    <xdr:to>
      <xdr:col>10</xdr:col>
      <xdr:colOff>0</xdr:colOff>
      <xdr:row>269</xdr:row>
      <xdr:rowOff>0</xdr:rowOff>
    </xdr:to>
    <xdr:graphicFrame macro="">
      <xdr:nvGraphicFramePr>
        <xdr:cNvPr id="24" name="Chart 23">
          <a:extLst>
            <a:ext uri="{FF2B5EF4-FFF2-40B4-BE49-F238E27FC236}">
              <a16:creationId xmlns:a16="http://schemas.microsoft.com/office/drawing/2014/main" id="{4F6ACE7D-776D-4EF6-973A-D5FE0ED08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311</xdr:row>
      <xdr:rowOff>173875</xdr:rowOff>
    </xdr:from>
    <xdr:to>
      <xdr:col>10</xdr:col>
      <xdr:colOff>0</xdr:colOff>
      <xdr:row>331</xdr:row>
      <xdr:rowOff>0</xdr:rowOff>
    </xdr:to>
    <xdr:graphicFrame macro="">
      <xdr:nvGraphicFramePr>
        <xdr:cNvPr id="25" name="Chart 24">
          <a:extLst>
            <a:ext uri="{FF2B5EF4-FFF2-40B4-BE49-F238E27FC236}">
              <a16:creationId xmlns:a16="http://schemas.microsoft.com/office/drawing/2014/main" id="{7F252009-A2EA-4248-8C06-1F1403F42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6</xdr:col>
      <xdr:colOff>166255</xdr:colOff>
      <xdr:row>257</xdr:row>
      <xdr:rowOff>138545</xdr:rowOff>
    </xdr:from>
    <xdr:ext cx="1045158" cy="264560"/>
    <xdr:sp macro="" textlink="">
      <xdr:nvSpPr>
        <xdr:cNvPr id="26" name="TextBox 25">
          <a:extLst>
            <a:ext uri="{FF2B5EF4-FFF2-40B4-BE49-F238E27FC236}">
              <a16:creationId xmlns:a16="http://schemas.microsoft.com/office/drawing/2014/main" id="{0EB6DFD2-7776-4051-B1E8-6D1A88A26E5C}"/>
            </a:ext>
          </a:extLst>
        </xdr:cNvPr>
        <xdr:cNvSpPr txBox="1"/>
      </xdr:nvSpPr>
      <xdr:spPr>
        <a:xfrm>
          <a:off x="3861955" y="38933870"/>
          <a:ext cx="10451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 Vertical Tail</a:t>
          </a:r>
        </a:p>
      </xdr:txBody>
    </xdr:sp>
    <xdr:clientData/>
  </xdr:oneCellAnchor>
  <xdr:oneCellAnchor>
    <xdr:from>
      <xdr:col>4</xdr:col>
      <xdr:colOff>96981</xdr:colOff>
      <xdr:row>253</xdr:row>
      <xdr:rowOff>96981</xdr:rowOff>
    </xdr:from>
    <xdr:ext cx="2099614" cy="264560"/>
    <xdr:sp macro="" textlink="">
      <xdr:nvSpPr>
        <xdr:cNvPr id="27" name="TextBox 26">
          <a:extLst>
            <a:ext uri="{FF2B5EF4-FFF2-40B4-BE49-F238E27FC236}">
              <a16:creationId xmlns:a16="http://schemas.microsoft.com/office/drawing/2014/main" id="{EF4C9019-DBE5-4179-AE4F-A36BDAB748AD}"/>
            </a:ext>
          </a:extLst>
        </xdr:cNvPr>
        <xdr:cNvSpPr txBox="1"/>
      </xdr:nvSpPr>
      <xdr:spPr>
        <a:xfrm>
          <a:off x="2573481" y="38244606"/>
          <a:ext cx="209961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 Horizontal Tail (Up and Down)</a:t>
          </a:r>
        </a:p>
      </xdr:txBody>
    </xdr:sp>
    <xdr:clientData/>
  </xdr:oneCellAnchor>
  <xdr:oneCellAnchor>
    <xdr:from>
      <xdr:col>5</xdr:col>
      <xdr:colOff>221673</xdr:colOff>
      <xdr:row>314</xdr:row>
      <xdr:rowOff>152400</xdr:rowOff>
    </xdr:from>
    <xdr:ext cx="584006" cy="264560"/>
    <xdr:sp macro="" textlink="">
      <xdr:nvSpPr>
        <xdr:cNvPr id="28" name="TextBox 27">
          <a:extLst>
            <a:ext uri="{FF2B5EF4-FFF2-40B4-BE49-F238E27FC236}">
              <a16:creationId xmlns:a16="http://schemas.microsoft.com/office/drawing/2014/main" id="{40E0BADC-1AF5-4B70-BCA9-3D06B0AF504C}"/>
            </a:ext>
          </a:extLst>
        </xdr:cNvPr>
        <xdr:cNvSpPr txBox="1"/>
      </xdr:nvSpPr>
      <xdr:spPr>
        <a:xfrm>
          <a:off x="3307773" y="47415450"/>
          <a:ext cx="584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(3)</a:t>
          </a:r>
          <a:r>
            <a:rPr lang="en-US" sz="1100" baseline="0"/>
            <a:t> Tab</a:t>
          </a:r>
          <a:endParaRPr lang="en-US" sz="1100"/>
        </a:p>
      </xdr:txBody>
    </xdr:sp>
    <xdr:clientData/>
  </xdr:oneCellAnchor>
  <xdr:oneCellAnchor>
    <xdr:from>
      <xdr:col>7</xdr:col>
      <xdr:colOff>193964</xdr:colOff>
      <xdr:row>313</xdr:row>
      <xdr:rowOff>13855</xdr:rowOff>
    </xdr:from>
    <xdr:ext cx="612475" cy="264560"/>
    <xdr:sp macro="" textlink="">
      <xdr:nvSpPr>
        <xdr:cNvPr id="29" name="TextBox 28">
          <a:extLst>
            <a:ext uri="{FF2B5EF4-FFF2-40B4-BE49-F238E27FC236}">
              <a16:creationId xmlns:a16="http://schemas.microsoft.com/office/drawing/2014/main" id="{7DD0E9AF-3228-4119-8175-EB2AC6974F8B}"/>
            </a:ext>
          </a:extLst>
        </xdr:cNvPr>
        <xdr:cNvSpPr txBox="1"/>
      </xdr:nvSpPr>
      <xdr:spPr>
        <a:xfrm>
          <a:off x="4499264" y="47114980"/>
          <a:ext cx="6124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(4) Flap</a:t>
          </a:r>
        </a:p>
      </xdr:txBody>
    </xdr:sp>
    <xdr:clientData/>
  </xdr:oneCellAnchor>
  <xdr:oneCellAnchor>
    <xdr:from>
      <xdr:col>7</xdr:col>
      <xdr:colOff>498765</xdr:colOff>
      <xdr:row>318</xdr:row>
      <xdr:rowOff>55418</xdr:rowOff>
    </xdr:from>
    <xdr:ext cx="787844" cy="264560"/>
    <xdr:sp macro="" textlink="">
      <xdr:nvSpPr>
        <xdr:cNvPr id="30" name="TextBox 29">
          <a:extLst>
            <a:ext uri="{FF2B5EF4-FFF2-40B4-BE49-F238E27FC236}">
              <a16:creationId xmlns:a16="http://schemas.microsoft.com/office/drawing/2014/main" id="{DA511E26-6F22-440A-BAF8-EB50E9679AF7}"/>
            </a:ext>
          </a:extLst>
        </xdr:cNvPr>
        <xdr:cNvSpPr txBox="1"/>
      </xdr:nvSpPr>
      <xdr:spPr>
        <a:xfrm>
          <a:off x="4804065" y="47966168"/>
          <a:ext cx="7878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(5) Aileron</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31" name="Group 30">
          <a:extLst>
            <a:ext uri="{FF2B5EF4-FFF2-40B4-BE49-F238E27FC236}">
              <a16:creationId xmlns:a16="http://schemas.microsoft.com/office/drawing/2014/main" id="{5C36414D-86E8-400C-90CE-261A62E6396F}"/>
            </a:ext>
          </a:extLst>
        </xdr:cNvPr>
        <xdr:cNvGrpSpPr/>
      </xdr:nvGrpSpPr>
      <xdr:grpSpPr>
        <a:xfrm>
          <a:off x="40822" y="1200386"/>
          <a:ext cx="2510636" cy="601372"/>
          <a:chOff x="40822" y="1267641"/>
          <a:chExt cx="2570933" cy="630195"/>
        </a:xfrm>
      </xdr:grpSpPr>
      <xdr:pic>
        <xdr:nvPicPr>
          <xdr:cNvPr id="32" name="Picture 31">
            <a:hlinkClick xmlns:r="http://schemas.openxmlformats.org/officeDocument/2006/relationships" r:id="rId12"/>
            <a:extLst>
              <a:ext uri="{FF2B5EF4-FFF2-40B4-BE49-F238E27FC236}">
                <a16:creationId xmlns:a16="http://schemas.microsoft.com/office/drawing/2014/main" id="{3FED7151-DE0A-4BFD-884C-73285D7CA481}"/>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3" name="Picture 32" descr="PayPal - The safer, easier way to pay online!">
            <a:hlinkClick xmlns:r="http://schemas.openxmlformats.org/officeDocument/2006/relationships" r:id="rId14"/>
            <a:extLst>
              <a:ext uri="{FF2B5EF4-FFF2-40B4-BE49-F238E27FC236}">
                <a16:creationId xmlns:a16="http://schemas.microsoft.com/office/drawing/2014/main" id="{B186A31C-E069-45CC-B39A-FA246EB97C4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34" name="Group 33">
          <a:extLst>
            <a:ext uri="{FF2B5EF4-FFF2-40B4-BE49-F238E27FC236}">
              <a16:creationId xmlns:a16="http://schemas.microsoft.com/office/drawing/2014/main" id="{A1AF1AB1-4E60-4021-8C3C-616F66FB60E2}"/>
            </a:ext>
          </a:extLst>
        </xdr:cNvPr>
        <xdr:cNvGrpSpPr/>
      </xdr:nvGrpSpPr>
      <xdr:grpSpPr>
        <a:xfrm>
          <a:off x="40822" y="10799930"/>
          <a:ext cx="2510636" cy="601371"/>
          <a:chOff x="40822" y="1267641"/>
          <a:chExt cx="2570933" cy="630195"/>
        </a:xfrm>
      </xdr:grpSpPr>
      <xdr:pic>
        <xdr:nvPicPr>
          <xdr:cNvPr id="35" name="Picture 34">
            <a:hlinkClick xmlns:r="http://schemas.openxmlformats.org/officeDocument/2006/relationships" r:id="rId12"/>
            <a:extLst>
              <a:ext uri="{FF2B5EF4-FFF2-40B4-BE49-F238E27FC236}">
                <a16:creationId xmlns:a16="http://schemas.microsoft.com/office/drawing/2014/main" id="{14104FAB-EB16-4502-A816-A9AF86FEA659}"/>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 name="Picture 35" descr="PayPal - The safer, easier way to pay online!">
            <a:hlinkClick xmlns:r="http://schemas.openxmlformats.org/officeDocument/2006/relationships" r:id="rId14"/>
            <a:extLst>
              <a:ext uri="{FF2B5EF4-FFF2-40B4-BE49-F238E27FC236}">
                <a16:creationId xmlns:a16="http://schemas.microsoft.com/office/drawing/2014/main" id="{73A97A8A-A0A5-4CDC-815B-0AA9CE683B9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121</xdr:row>
      <xdr:rowOff>40821</xdr:rowOff>
    </xdr:from>
    <xdr:to>
      <xdr:col>4</xdr:col>
      <xdr:colOff>66675</xdr:colOff>
      <xdr:row>124</xdr:row>
      <xdr:rowOff>145236</xdr:rowOff>
    </xdr:to>
    <xdr:grpSp>
      <xdr:nvGrpSpPr>
        <xdr:cNvPr id="37" name="Group 36">
          <a:extLst>
            <a:ext uri="{FF2B5EF4-FFF2-40B4-BE49-F238E27FC236}">
              <a16:creationId xmlns:a16="http://schemas.microsoft.com/office/drawing/2014/main" id="{7781D21A-DEEA-4F2F-89D8-66E010584B74}"/>
            </a:ext>
          </a:extLst>
        </xdr:cNvPr>
        <xdr:cNvGrpSpPr/>
      </xdr:nvGrpSpPr>
      <xdr:grpSpPr>
        <a:xfrm>
          <a:off x="40822" y="20300082"/>
          <a:ext cx="2510636" cy="601371"/>
          <a:chOff x="40822" y="1267641"/>
          <a:chExt cx="2570933" cy="630195"/>
        </a:xfrm>
      </xdr:grpSpPr>
      <xdr:pic>
        <xdr:nvPicPr>
          <xdr:cNvPr id="38" name="Picture 37">
            <a:hlinkClick xmlns:r="http://schemas.openxmlformats.org/officeDocument/2006/relationships" r:id="rId12"/>
            <a:extLst>
              <a:ext uri="{FF2B5EF4-FFF2-40B4-BE49-F238E27FC236}">
                <a16:creationId xmlns:a16="http://schemas.microsoft.com/office/drawing/2014/main" id="{B6105DDE-DFA7-4394-9D70-4AA357EA8FF5}"/>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 name="Picture 38" descr="PayPal - The safer, easier way to pay online!">
            <a:hlinkClick xmlns:r="http://schemas.openxmlformats.org/officeDocument/2006/relationships" r:id="rId14"/>
            <a:extLst>
              <a:ext uri="{FF2B5EF4-FFF2-40B4-BE49-F238E27FC236}">
                <a16:creationId xmlns:a16="http://schemas.microsoft.com/office/drawing/2014/main" id="{2CE4E680-F9E3-41B2-8F68-2293D6635DD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178</xdr:row>
      <xdr:rowOff>40821</xdr:rowOff>
    </xdr:from>
    <xdr:to>
      <xdr:col>4</xdr:col>
      <xdr:colOff>66675</xdr:colOff>
      <xdr:row>181</xdr:row>
      <xdr:rowOff>145236</xdr:rowOff>
    </xdr:to>
    <xdr:grpSp>
      <xdr:nvGrpSpPr>
        <xdr:cNvPr id="40" name="Group 39">
          <a:extLst>
            <a:ext uri="{FF2B5EF4-FFF2-40B4-BE49-F238E27FC236}">
              <a16:creationId xmlns:a16="http://schemas.microsoft.com/office/drawing/2014/main" id="{30D45722-1FB4-48C2-9EF9-9D483DAE00DB}"/>
            </a:ext>
          </a:extLst>
        </xdr:cNvPr>
        <xdr:cNvGrpSpPr/>
      </xdr:nvGrpSpPr>
      <xdr:grpSpPr>
        <a:xfrm>
          <a:off x="40822" y="29800234"/>
          <a:ext cx="2510636" cy="601372"/>
          <a:chOff x="40822" y="1267641"/>
          <a:chExt cx="2570933" cy="630195"/>
        </a:xfrm>
      </xdr:grpSpPr>
      <xdr:pic>
        <xdr:nvPicPr>
          <xdr:cNvPr id="41" name="Picture 40">
            <a:hlinkClick xmlns:r="http://schemas.openxmlformats.org/officeDocument/2006/relationships" r:id="rId12"/>
            <a:extLst>
              <a:ext uri="{FF2B5EF4-FFF2-40B4-BE49-F238E27FC236}">
                <a16:creationId xmlns:a16="http://schemas.microsoft.com/office/drawing/2014/main" id="{FBD7D75A-BE6C-471B-965C-BC7BD8B8D2AD}"/>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14"/>
            <a:extLst>
              <a:ext uri="{FF2B5EF4-FFF2-40B4-BE49-F238E27FC236}">
                <a16:creationId xmlns:a16="http://schemas.microsoft.com/office/drawing/2014/main" id="{B35A2AFB-1B3E-4FED-9C94-1152C1EE67D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236</xdr:row>
      <xdr:rowOff>40821</xdr:rowOff>
    </xdr:from>
    <xdr:to>
      <xdr:col>4</xdr:col>
      <xdr:colOff>66675</xdr:colOff>
      <xdr:row>239</xdr:row>
      <xdr:rowOff>145236</xdr:rowOff>
    </xdr:to>
    <xdr:grpSp>
      <xdr:nvGrpSpPr>
        <xdr:cNvPr id="43" name="Group 42">
          <a:extLst>
            <a:ext uri="{FF2B5EF4-FFF2-40B4-BE49-F238E27FC236}">
              <a16:creationId xmlns:a16="http://schemas.microsoft.com/office/drawing/2014/main" id="{30D52C28-A882-4B18-B094-2D8910E74416}"/>
            </a:ext>
          </a:extLst>
        </xdr:cNvPr>
        <xdr:cNvGrpSpPr/>
      </xdr:nvGrpSpPr>
      <xdr:grpSpPr>
        <a:xfrm>
          <a:off x="40822" y="39457756"/>
          <a:ext cx="2510636" cy="601371"/>
          <a:chOff x="40822" y="1267641"/>
          <a:chExt cx="2570933" cy="630195"/>
        </a:xfrm>
      </xdr:grpSpPr>
      <xdr:pic>
        <xdr:nvPicPr>
          <xdr:cNvPr id="44" name="Picture 43">
            <a:hlinkClick xmlns:r="http://schemas.openxmlformats.org/officeDocument/2006/relationships" r:id="rId12"/>
            <a:extLst>
              <a:ext uri="{FF2B5EF4-FFF2-40B4-BE49-F238E27FC236}">
                <a16:creationId xmlns:a16="http://schemas.microsoft.com/office/drawing/2014/main" id="{576FB781-D92E-4499-84D0-0FB5F3DF1634}"/>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5" name="Picture 44" descr="PayPal - The safer, easier way to pay online!">
            <a:hlinkClick xmlns:r="http://schemas.openxmlformats.org/officeDocument/2006/relationships" r:id="rId14"/>
            <a:extLst>
              <a:ext uri="{FF2B5EF4-FFF2-40B4-BE49-F238E27FC236}">
                <a16:creationId xmlns:a16="http://schemas.microsoft.com/office/drawing/2014/main" id="{39196B26-23B5-425F-A496-E4BE17BFA49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298</xdr:row>
      <xdr:rowOff>40821</xdr:rowOff>
    </xdr:from>
    <xdr:to>
      <xdr:col>4</xdr:col>
      <xdr:colOff>66675</xdr:colOff>
      <xdr:row>301</xdr:row>
      <xdr:rowOff>145236</xdr:rowOff>
    </xdr:to>
    <xdr:grpSp>
      <xdr:nvGrpSpPr>
        <xdr:cNvPr id="46" name="Group 45">
          <a:extLst>
            <a:ext uri="{FF2B5EF4-FFF2-40B4-BE49-F238E27FC236}">
              <a16:creationId xmlns:a16="http://schemas.microsoft.com/office/drawing/2014/main" id="{47707DFF-DD49-419B-8B3C-761977A47CD5}"/>
            </a:ext>
          </a:extLst>
        </xdr:cNvPr>
        <xdr:cNvGrpSpPr/>
      </xdr:nvGrpSpPr>
      <xdr:grpSpPr>
        <a:xfrm>
          <a:off x="40822" y="49769604"/>
          <a:ext cx="2510636" cy="601371"/>
          <a:chOff x="40822" y="1267641"/>
          <a:chExt cx="2570933" cy="630195"/>
        </a:xfrm>
      </xdr:grpSpPr>
      <xdr:pic>
        <xdr:nvPicPr>
          <xdr:cNvPr id="47" name="Picture 46">
            <a:hlinkClick xmlns:r="http://schemas.openxmlformats.org/officeDocument/2006/relationships" r:id="rId12"/>
            <a:extLst>
              <a:ext uri="{FF2B5EF4-FFF2-40B4-BE49-F238E27FC236}">
                <a16:creationId xmlns:a16="http://schemas.microsoft.com/office/drawing/2014/main" id="{469C3BD7-E596-41B6-9EC8-5968AADFBA24}"/>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8" name="Picture 47" descr="PayPal - The safer, easier way to pay online!">
            <a:hlinkClick xmlns:r="http://schemas.openxmlformats.org/officeDocument/2006/relationships" r:id="rId14"/>
            <a:extLst>
              <a:ext uri="{FF2B5EF4-FFF2-40B4-BE49-F238E27FC236}">
                <a16:creationId xmlns:a16="http://schemas.microsoft.com/office/drawing/2014/main" id="{F49289B9-17F1-474D-9250-DC696AF11597}"/>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a:extLst xmlns:a="http://schemas.openxmlformats.org/drawingml/2006/main">
            <a:ext uri="{FF2B5EF4-FFF2-40B4-BE49-F238E27FC236}">
              <a16:creationId xmlns:a16="http://schemas.microsoft.com/office/drawing/2014/main" id="{120B0762-6495-4C4B-94FD-B9AF60184FA8}"/>
            </a:ext>
          </a:extLst>
        </cdr:cNvPr>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drawings/drawing4.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a:extLst xmlns:a="http://schemas.openxmlformats.org/drawingml/2006/main">
            <a:ext uri="{FF2B5EF4-FFF2-40B4-BE49-F238E27FC236}">
              <a16:creationId xmlns:a16="http://schemas.microsoft.com/office/drawing/2014/main" id="{7921A5D2-8CE7-4EC0-AACC-7C3412AFCE23}"/>
            </a:ext>
          </a:extLst>
        </cdr:cNvPr>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AA-SM-515-000%20Loads%20-%20Simplified%20Part%2023%20Aircraft%20Loads%20-%20Complet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nalysis"/>
      <sheetName val="Aileron Load"/>
      <sheetName val="Elevator Load"/>
      <sheetName val="Tab Load"/>
      <sheetName val="Rudder Load"/>
      <sheetName val="Flap Load"/>
    </sheetNames>
    <sheetDataSet>
      <sheetData sheetId="0"/>
      <sheetData sheetId="1">
        <row r="77">
          <cell r="W77">
            <v>0</v>
          </cell>
          <cell r="AD77">
            <v>1</v>
          </cell>
        </row>
        <row r="78">
          <cell r="W78">
            <v>5</v>
          </cell>
          <cell r="X78">
            <v>1.9177454023549534</v>
          </cell>
          <cell r="Y78">
            <v>1.7930359227956436</v>
          </cell>
          <cell r="Z78">
            <v>1.7001695204197738</v>
          </cell>
          <cell r="AA78">
            <v>1.5787288403897899</v>
          </cell>
          <cell r="AB78">
            <v>1.48586243801392</v>
          </cell>
          <cell r="AC78">
            <v>1.3715653273974644</v>
          </cell>
          <cell r="AD78">
            <v>1</v>
          </cell>
        </row>
        <row r="79">
          <cell r="W79">
            <v>7</v>
          </cell>
          <cell r="X79">
            <v>1.7869156923480813</v>
          </cell>
          <cell r="Y79">
            <v>1.6712762096790972</v>
          </cell>
          <cell r="Z79">
            <v>1.5847160872654389</v>
          </cell>
          <cell r="AA79">
            <v>1.4715220810321934</v>
          </cell>
          <cell r="AB79">
            <v>1.3849619586185349</v>
          </cell>
          <cell r="AC79">
            <v>1.2784264233401861</v>
          </cell>
          <cell r="AD79">
            <v>1</v>
          </cell>
        </row>
        <row r="80">
          <cell r="W80">
            <v>9</v>
          </cell>
          <cell r="X80">
            <v>1.6950547256132058</v>
          </cell>
          <cell r="Y80">
            <v>1.5857584599172345</v>
          </cell>
          <cell r="Z80">
            <v>1.5036275436665412</v>
          </cell>
          <cell r="AA80">
            <v>1.3962255762617883</v>
          </cell>
          <cell r="AB80">
            <v>1.314094660011095</v>
          </cell>
          <cell r="AC80">
            <v>1.2130104553948566</v>
          </cell>
          <cell r="AD80">
            <v>1</v>
          </cell>
        </row>
        <row r="81">
          <cell r="W81">
            <v>11</v>
          </cell>
          <cell r="X81">
            <v>1.6251078466709674</v>
          </cell>
          <cell r="Y81">
            <v>1.5206268347464533</v>
          </cell>
          <cell r="Z81">
            <v>1.4418692696002227</v>
          </cell>
          <cell r="AA81">
            <v>1.3388786074859211</v>
          </cell>
          <cell r="AB81">
            <v>1.2601210423396905</v>
          </cell>
          <cell r="AC81">
            <v>1.1631886544674066</v>
          </cell>
          <cell r="AD81">
            <v>1</v>
          </cell>
        </row>
        <row r="82">
          <cell r="W82">
            <v>13</v>
          </cell>
          <cell r="X82">
            <v>1.5690852762615055</v>
          </cell>
          <cell r="Y82">
            <v>1.4684513432006499</v>
          </cell>
          <cell r="Z82">
            <v>1.3923960943496203</v>
          </cell>
          <cell r="AA82">
            <v>1.2929392304675045</v>
          </cell>
          <cell r="AB82">
            <v>1.2168839816164749</v>
          </cell>
          <cell r="AC82">
            <v>1.1232775214921307</v>
          </cell>
          <cell r="AD82">
            <v>1</v>
          </cell>
        </row>
        <row r="83">
          <cell r="W83">
            <v>15</v>
          </cell>
          <cell r="X83">
            <v>1.5226338720264994</v>
          </cell>
          <cell r="Y83">
            <v>1.4251830492904716</v>
          </cell>
          <cell r="Z83">
            <v>1.3513687877734353</v>
          </cell>
          <cell r="AA83">
            <v>1.2548424457896183</v>
          </cell>
          <cell r="AB83">
            <v>1.181028184272582</v>
          </cell>
          <cell r="AC83">
            <v>1.0901798624054604</v>
          </cell>
          <cell r="AD83">
            <v>1</v>
          </cell>
        </row>
        <row r="84">
          <cell r="W84">
            <v>17</v>
          </cell>
          <cell r="X84">
            <v>1.4831339545270961</v>
          </cell>
          <cell r="Y84">
            <v>1.3883849487571391</v>
          </cell>
          <cell r="Z84">
            <v>1.3164765649569687</v>
          </cell>
          <cell r="AA84">
            <v>1.2224425246028996</v>
          </cell>
          <cell r="AB84">
            <v>1.150534140802729</v>
          </cell>
          <cell r="AC84">
            <v>1.0620315145871344</v>
          </cell>
          <cell r="AD84">
            <v>1</v>
          </cell>
        </row>
        <row r="85">
          <cell r="W85">
            <v>21</v>
          </cell>
          <cell r="X85">
            <v>1.41875890109488</v>
          </cell>
          <cell r="Y85">
            <v>1.328403125913582</v>
          </cell>
          <cell r="Z85">
            <v>1.2596013703881774</v>
          </cell>
          <cell r="AA85">
            <v>1.1696298439318791</v>
          </cell>
          <cell r="AB85">
            <v>1.1008280884064745</v>
          </cell>
          <cell r="AC85">
            <v>1.0161490046828994</v>
          </cell>
          <cell r="AD85">
            <v>1</v>
          </cell>
        </row>
        <row r="86">
          <cell r="W86">
            <v>25</v>
          </cell>
          <cell r="X86">
            <v>1.3677516561618366</v>
          </cell>
          <cell r="Y86">
            <v>1.2808676575440741</v>
          </cell>
          <cell r="Z86">
            <v>1.2145278983884049</v>
          </cell>
          <cell r="AA86">
            <v>1.1277759056463761</v>
          </cell>
          <cell r="AB86">
            <v>1.0614361464907069</v>
          </cell>
          <cell r="AC86">
            <v>0.97978721214526787</v>
          </cell>
          <cell r="AD86">
            <v>1</v>
          </cell>
        </row>
        <row r="87">
          <cell r="W87">
            <v>29</v>
          </cell>
          <cell r="X87">
            <v>1.3257788045080106</v>
          </cell>
          <cell r="Y87">
            <v>1.2417453430379408</v>
          </cell>
          <cell r="Z87">
            <v>1.1774318392152587</v>
          </cell>
          <cell r="AA87">
            <v>1.0933295649855974</v>
          </cell>
          <cell r="AB87">
            <v>1.0290160611629153</v>
          </cell>
          <cell r="AC87">
            <v>0.9498609795349986</v>
          </cell>
          <cell r="AD87">
            <v>1</v>
          </cell>
        </row>
        <row r="88">
          <cell r="W88">
            <v>33</v>
          </cell>
          <cell r="X88">
            <v>1.2902881946679121</v>
          </cell>
          <cell r="Y88">
            <v>1.2086604410010284</v>
          </cell>
          <cell r="Z88">
            <v>1.1460604978416127</v>
          </cell>
          <cell r="AA88">
            <v>1.0641990337100689</v>
          </cell>
          <cell r="AB88">
            <v>1.0015990905506531</v>
          </cell>
          <cell r="AC88">
            <v>0.92455300666214124</v>
          </cell>
          <cell r="AD88">
            <v>1</v>
          </cell>
          <cell r="AF88">
            <v>48.223350253807105</v>
          </cell>
          <cell r="AG88">
            <v>0</v>
          </cell>
        </row>
        <row r="89">
          <cell r="W89">
            <v>37</v>
          </cell>
          <cell r="X89">
            <v>1.2596569555492649</v>
          </cell>
          <cell r="Y89">
            <v>1.1801020401013891</v>
          </cell>
          <cell r="Z89">
            <v>1.1189812173072933</v>
          </cell>
          <cell r="AA89">
            <v>1.0390539874996296</v>
          </cell>
          <cell r="AB89">
            <v>0.97793316470553371</v>
          </cell>
          <cell r="AC89">
            <v>0.90270753665126191</v>
          </cell>
          <cell r="AD89">
            <v>1</v>
          </cell>
          <cell r="AF89">
            <v>48.223350253807105</v>
          </cell>
          <cell r="AG89">
            <v>1.09069964649039</v>
          </cell>
        </row>
        <row r="90">
          <cell r="W90">
            <v>41</v>
          </cell>
          <cell r="X90">
            <v>1.2327926636507454</v>
          </cell>
          <cell r="Y90">
            <v>1.1550529547630946</v>
          </cell>
          <cell r="Z90">
            <v>1.0952294949546475</v>
          </cell>
          <cell r="AA90">
            <v>1.0169988167436013</v>
          </cell>
          <cell r="AB90">
            <v>0.9571753569351541</v>
          </cell>
          <cell r="AC90">
            <v>0.8835464833247576</v>
          </cell>
          <cell r="AD90">
            <v>1</v>
          </cell>
          <cell r="AF90">
            <v>0</v>
          </cell>
          <cell r="AG90">
            <v>1.09069964649039</v>
          </cell>
        </row>
        <row r="91">
          <cell r="W91">
            <v>45</v>
          </cell>
          <cell r="X91">
            <v>1.2089268499329702</v>
          </cell>
          <cell r="Y91">
            <v>1.1327975631508758</v>
          </cell>
          <cell r="Z91">
            <v>1.0741267730275237</v>
          </cell>
          <cell r="AA91">
            <v>0.99740343209698634</v>
          </cell>
          <cell r="AB91">
            <v>0.93873264197363415</v>
          </cell>
          <cell r="AC91">
            <v>0.8665224387448931</v>
          </cell>
          <cell r="AD91">
            <v>1</v>
          </cell>
        </row>
        <row r="92">
          <cell r="W92">
            <v>49</v>
          </cell>
          <cell r="X92">
            <v>1.1874996063668501</v>
          </cell>
          <cell r="Y92">
            <v>1.1128144099758284</v>
          </cell>
          <cell r="Z92">
            <v>1.0551786038814628</v>
          </cell>
          <cell r="AA92">
            <v>0.97980870360421557</v>
          </cell>
          <cell r="AB92">
            <v>0.92217289750984999</v>
          </cell>
          <cell r="AC92">
            <v>0.85123652077832301</v>
          </cell>
          <cell r="AD92">
            <v>1</v>
          </cell>
          <cell r="AF92">
            <v>32.791878172588831</v>
          </cell>
          <cell r="AG92">
            <v>0</v>
          </cell>
        </row>
        <row r="93">
          <cell r="W93">
            <v>53</v>
          </cell>
          <cell r="X93">
            <v>1.1680911096525677</v>
          </cell>
          <cell r="Y93">
            <v>1.0947124687947876</v>
          </cell>
          <cell r="Z93">
            <v>1.0380142134388821</v>
          </cell>
          <cell r="AA93">
            <v>0.9638703410503906</v>
          </cell>
          <cell r="AB93">
            <v>0.90717208569448538</v>
          </cell>
          <cell r="AC93">
            <v>0.83738961756414021</v>
          </cell>
          <cell r="AD93">
            <v>1</v>
          </cell>
          <cell r="AF93">
            <v>32.791878172588831</v>
          </cell>
          <cell r="AG93">
            <v>1.1822540477800167</v>
          </cell>
        </row>
        <row r="94">
          <cell r="W94">
            <v>60</v>
          </cell>
          <cell r="X94">
            <v>1.1380540497724598</v>
          </cell>
          <cell r="Y94">
            <v>1.066694633435104</v>
          </cell>
          <cell r="Z94">
            <v>1.0114475010261146</v>
          </cell>
          <cell r="AA94">
            <v>0.93920125095282081</v>
          </cell>
          <cell r="AB94">
            <v>0.88395411854383132</v>
          </cell>
          <cell r="AC94">
            <v>0.81595764788661351</v>
          </cell>
          <cell r="AD94">
            <v>1</v>
          </cell>
          <cell r="AF94">
            <v>0</v>
          </cell>
          <cell r="AG94">
            <v>1.1822540477800167</v>
          </cell>
        </row>
        <row r="95">
          <cell r="W95">
            <v>67</v>
          </cell>
          <cell r="X95">
            <v>1.111985034970159</v>
          </cell>
          <cell r="Y95">
            <v>1.0423752421082668</v>
          </cell>
          <cell r="Z95">
            <v>0.98838767976799802</v>
          </cell>
          <cell r="AA95">
            <v>0.91778855978456964</v>
          </cell>
          <cell r="AB95">
            <v>0.86380099744430083</v>
          </cell>
          <cell r="AC95">
            <v>0.79735476687166229</v>
          </cell>
          <cell r="AD95">
            <v>1</v>
          </cell>
        </row>
        <row r="96">
          <cell r="W96">
            <v>74</v>
          </cell>
          <cell r="X96">
            <v>1.0890203367482558</v>
          </cell>
          <cell r="Y96">
            <v>1.0209495735259089</v>
          </cell>
          <cell r="Z96">
            <v>0.96807170716799329</v>
          </cell>
          <cell r="AA96">
            <v>0.89892372808456522</v>
          </cell>
          <cell r="AB96">
            <v>0.84604586172664964</v>
          </cell>
          <cell r="AC96">
            <v>0.78096541082459969</v>
          </cell>
          <cell r="AD96">
            <v>1</v>
          </cell>
        </row>
        <row r="97">
          <cell r="W97">
            <v>85</v>
          </cell>
          <cell r="X97">
            <v>1.0577832282237565</v>
          </cell>
          <cell r="Y97">
            <v>0.99180242541447805</v>
          </cell>
          <cell r="Z97">
            <v>0.94043417230536175</v>
          </cell>
          <cell r="AA97">
            <v>0.8732603028549788</v>
          </cell>
          <cell r="AB97">
            <v>0.82189204974586239</v>
          </cell>
          <cell r="AC97">
            <v>0.75866958438079601</v>
          </cell>
          <cell r="AD97">
            <v>1</v>
          </cell>
        </row>
        <row r="98">
          <cell r="W98">
            <v>95</v>
          </cell>
          <cell r="X98">
            <v>1.0333624923345925</v>
          </cell>
          <cell r="Y98">
            <v>0.96901274232772328</v>
          </cell>
          <cell r="Z98">
            <v>0.91882483137051052</v>
          </cell>
          <cell r="AA98">
            <v>0.85319448627261696</v>
          </cell>
          <cell r="AB98">
            <v>0.8030065753154042</v>
          </cell>
          <cell r="AC98">
            <v>0.74123683875268076</v>
          </cell>
          <cell r="AD98">
            <v>1</v>
          </cell>
        </row>
        <row r="99">
          <cell r="W99">
            <v>105</v>
          </cell>
          <cell r="X99">
            <v>1.0118704152719968</v>
          </cell>
          <cell r="Y99">
            <v>0.94895399391118629</v>
          </cell>
          <cell r="Z99">
            <v>0.89980498227435191</v>
          </cell>
          <cell r="AA99">
            <v>0.83553319782618396</v>
          </cell>
          <cell r="AB99">
            <v>0.78638418618934969</v>
          </cell>
          <cell r="AC99">
            <v>0.72589309494401499</v>
          </cell>
          <cell r="AD99">
            <v>1</v>
          </cell>
        </row>
        <row r="129">
          <cell r="W129">
            <v>0</v>
          </cell>
          <cell r="AD129">
            <v>0.5</v>
          </cell>
        </row>
        <row r="130">
          <cell r="W130">
            <v>5</v>
          </cell>
          <cell r="X130">
            <v>1.3742237015008811</v>
          </cell>
          <cell r="Y130">
            <v>1.2547259883268915</v>
          </cell>
          <cell r="Z130">
            <v>1.1352282751529019</v>
          </cell>
          <cell r="AA130">
            <v>1.0276803332963111</v>
          </cell>
          <cell r="AB130">
            <v>0.91415750578102106</v>
          </cell>
          <cell r="AC130">
            <v>0.80063467826573087</v>
          </cell>
          <cell r="AD130">
            <v>0.5</v>
          </cell>
        </row>
        <row r="131">
          <cell r="W131">
            <v>7</v>
          </cell>
          <cell r="X131">
            <v>1.2339468771401767</v>
          </cell>
          <cell r="Y131">
            <v>1.1266471486932048</v>
          </cell>
          <cell r="Z131">
            <v>1.0193474202462329</v>
          </cell>
          <cell r="AA131">
            <v>0.92277766464395816</v>
          </cell>
          <cell r="AB131">
            <v>0.820842922619335</v>
          </cell>
          <cell r="AC131">
            <v>0.71890818059471173</v>
          </cell>
          <cell r="AD131">
            <v>0.5</v>
          </cell>
        </row>
        <row r="132">
          <cell r="W132">
            <v>9</v>
          </cell>
          <cell r="X132">
            <v>1.138597518597833</v>
          </cell>
          <cell r="Y132">
            <v>1.0395890387197606</v>
          </cell>
          <cell r="Z132">
            <v>0.94058055884168812</v>
          </cell>
          <cell r="AA132">
            <v>0.85147292695142296</v>
          </cell>
          <cell r="AB132">
            <v>0.75741487106725425</v>
          </cell>
          <cell r="AC132">
            <v>0.66335681518308542</v>
          </cell>
          <cell r="AD132">
            <v>0.5</v>
          </cell>
        </row>
        <row r="133">
          <cell r="W133">
            <v>11</v>
          </cell>
          <cell r="X133">
            <v>1.0677809704313193</v>
          </cell>
          <cell r="Y133">
            <v>0.97493045126337852</v>
          </cell>
          <cell r="Z133">
            <v>0.88207993209543756</v>
          </cell>
          <cell r="AA133">
            <v>0.79851446484429089</v>
          </cell>
          <cell r="AB133">
            <v>0.71030647163474714</v>
          </cell>
          <cell r="AC133">
            <v>0.62209847842520338</v>
          </cell>
          <cell r="AD133">
            <v>0.5</v>
          </cell>
        </row>
        <row r="134">
          <cell r="W134">
            <v>13</v>
          </cell>
          <cell r="X134">
            <v>1.0121991383646831</v>
          </cell>
          <cell r="Y134">
            <v>0.92418182198514554</v>
          </cell>
          <cell r="Z134">
            <v>0.83616450560560784</v>
          </cell>
          <cell r="AA134">
            <v>0.75694892086402399</v>
          </cell>
          <cell r="AB134">
            <v>0.67333247030346322</v>
          </cell>
          <cell r="AC134">
            <v>0.58971601974290244</v>
          </cell>
          <cell r="AD134">
            <v>0.5</v>
          </cell>
        </row>
        <row r="135">
          <cell r="W135">
            <v>15</v>
          </cell>
          <cell r="X135">
            <v>0.96689348318850965</v>
          </cell>
          <cell r="Y135">
            <v>0.88281578899820456</v>
          </cell>
          <cell r="Z135">
            <v>0.79873809480789937</v>
          </cell>
          <cell r="AA135">
            <v>0.72306817003662471</v>
          </cell>
          <cell r="AB135">
            <v>0.64319436055583479</v>
          </cell>
          <cell r="AC135">
            <v>0.56332055107504486</v>
          </cell>
          <cell r="AD135">
            <v>0.5</v>
          </cell>
        </row>
        <row r="136">
          <cell r="W136">
            <v>17</v>
          </cell>
          <cell r="X136">
            <v>0.92893255055070945</v>
          </cell>
          <cell r="Y136">
            <v>0.84815580702456095</v>
          </cell>
          <cell r="Z136">
            <v>0.76737906349841212</v>
          </cell>
          <cell r="AA136">
            <v>0.69467999432487837</v>
          </cell>
          <cell r="AB136">
            <v>0.61794208797503725</v>
          </cell>
          <cell r="AC136">
            <v>0.54120418162519601</v>
          </cell>
          <cell r="AD136">
            <v>0.5</v>
          </cell>
        </row>
        <row r="137">
          <cell r="W137">
            <v>21</v>
          </cell>
          <cell r="X137">
            <v>0.86819576230899731</v>
          </cell>
          <cell r="Y137">
            <v>0.79270047862995408</v>
          </cell>
          <cell r="Z137">
            <v>0.71720519495091084</v>
          </cell>
          <cell r="AA137">
            <v>0.64925943963977195</v>
          </cell>
          <cell r="AB137">
            <v>0.57753892014468089</v>
          </cell>
          <cell r="AC137">
            <v>0.50581840064958983</v>
          </cell>
          <cell r="AD137">
            <v>0.5</v>
          </cell>
        </row>
        <row r="138">
          <cell r="W138">
            <v>25</v>
          </cell>
          <cell r="X138">
            <v>0.82108294859425357</v>
          </cell>
          <cell r="Y138">
            <v>0.74968443132518814</v>
          </cell>
          <cell r="Z138">
            <v>0.67828591405612249</v>
          </cell>
          <cell r="AA138">
            <v>0.61402724851396351</v>
          </cell>
          <cell r="AB138">
            <v>0.54619865710835136</v>
          </cell>
          <cell r="AC138">
            <v>0.4783700657027391</v>
          </cell>
          <cell r="AD138">
            <v>0.5</v>
          </cell>
        </row>
        <row r="139">
          <cell r="W139">
            <v>29</v>
          </cell>
          <cell r="X139">
            <v>0.78299768258241931</v>
          </cell>
          <cell r="Y139">
            <v>0.71491092757525243</v>
          </cell>
          <cell r="Z139">
            <v>0.64682417256808555</v>
          </cell>
          <cell r="AA139">
            <v>0.5855460930616353</v>
          </cell>
          <cell r="AB139">
            <v>0.52086367580482684</v>
          </cell>
          <cell r="AC139">
            <v>0.45618125854801828</v>
          </cell>
          <cell r="AD139">
            <v>0.5</v>
          </cell>
        </row>
        <row r="140">
          <cell r="W140">
            <v>33</v>
          </cell>
          <cell r="X140">
            <v>0.75128267738007959</v>
          </cell>
          <cell r="Y140">
            <v>0.6859537489122467</v>
          </cell>
          <cell r="Z140">
            <v>0.62062482044441358</v>
          </cell>
          <cell r="AA140">
            <v>0.56182878482336396</v>
          </cell>
          <cell r="AB140">
            <v>0.49976630277892259</v>
          </cell>
          <cell r="AC140">
            <v>0.43770382073448122</v>
          </cell>
          <cell r="AD140">
            <v>0.5</v>
          </cell>
          <cell r="AF140">
            <v>48.223350253807105</v>
          </cell>
          <cell r="AG140">
            <v>0</v>
          </cell>
        </row>
        <row r="141">
          <cell r="W141">
            <v>37</v>
          </cell>
          <cell r="X141">
            <v>0.72427464898020477</v>
          </cell>
          <cell r="Y141">
            <v>0.66129424472105669</v>
          </cell>
          <cell r="Z141">
            <v>0.59831384046190828</v>
          </cell>
          <cell r="AA141">
            <v>0.54163147662867495</v>
          </cell>
          <cell r="AB141">
            <v>0.48180009258248413</v>
          </cell>
          <cell r="AC141">
            <v>0.42196870853629331</v>
          </cell>
          <cell r="AD141">
            <v>0.5</v>
          </cell>
          <cell r="AF141">
            <v>48.223350253807105</v>
          </cell>
          <cell r="AG141">
            <v>0.5816914282866803</v>
          </cell>
        </row>
        <row r="142">
          <cell r="W142">
            <v>41</v>
          </cell>
          <cell r="X142">
            <v>0.70086924312612331</v>
          </cell>
          <cell r="Y142">
            <v>0.63992409154993879</v>
          </cell>
          <cell r="Z142">
            <v>0.57897893997375405</v>
          </cell>
          <cell r="AA142">
            <v>0.52412830355518791</v>
          </cell>
          <cell r="AB142">
            <v>0.46623040955781253</v>
          </cell>
          <cell r="AC142">
            <v>0.40833251556043715</v>
          </cell>
          <cell r="AD142">
            <v>0.5</v>
          </cell>
          <cell r="AF142">
            <v>0</v>
          </cell>
          <cell r="AG142">
            <v>0.5816914282866803</v>
          </cell>
        </row>
        <row r="143">
          <cell r="W143">
            <v>45</v>
          </cell>
          <cell r="X143">
            <v>0.68029899849010123</v>
          </cell>
          <cell r="Y143">
            <v>0.62114256383878808</v>
          </cell>
          <cell r="Z143">
            <v>0.56198612918747493</v>
          </cell>
          <cell r="AA143">
            <v>0.50874533800129307</v>
          </cell>
          <cell r="AB143">
            <v>0.45254672508254562</v>
          </cell>
          <cell r="AC143">
            <v>0.39634811216379812</v>
          </cell>
          <cell r="AD143">
            <v>0.5</v>
          </cell>
        </row>
        <row r="144">
          <cell r="W144">
            <v>49</v>
          </cell>
          <cell r="X144">
            <v>0.6620108241756496</v>
          </cell>
          <cell r="Y144">
            <v>0.60444466555168008</v>
          </cell>
          <cell r="Z144">
            <v>0.54687850692771056</v>
          </cell>
          <cell r="AA144">
            <v>0.49506896416613799</v>
          </cell>
          <cell r="AB144">
            <v>0.44038111347336695</v>
          </cell>
          <cell r="AC144">
            <v>0.3856932627805959</v>
          </cell>
          <cell r="AD144">
            <v>0.5</v>
          </cell>
          <cell r="AF144">
            <v>32.791878172588831</v>
          </cell>
          <cell r="AG144">
            <v>0</v>
          </cell>
        </row>
        <row r="145">
          <cell r="W145">
            <v>53</v>
          </cell>
          <cell r="X145">
            <v>0.64559410739347756</v>
          </cell>
          <cell r="Y145">
            <v>0.58945548935926229</v>
          </cell>
          <cell r="Z145">
            <v>0.53331687132504668</v>
          </cell>
          <cell r="AA145">
            <v>0.48279211509425285</v>
          </cell>
          <cell r="AB145">
            <v>0.42946042796174821</v>
          </cell>
          <cell r="AC145">
            <v>0.37612874082924352</v>
          </cell>
          <cell r="AD145">
            <v>0.5</v>
          </cell>
          <cell r="AF145">
            <v>32.791878172588831</v>
          </cell>
          <cell r="AG145">
            <v>0.65809685006484264</v>
          </cell>
        </row>
        <row r="146">
          <cell r="W146">
            <v>60</v>
          </cell>
          <cell r="X146">
            <v>0.62046806825446799</v>
          </cell>
          <cell r="Y146">
            <v>0.56651432318886219</v>
          </cell>
          <cell r="Z146">
            <v>0.51256057812325617</v>
          </cell>
          <cell r="AA146">
            <v>0.4640022075642109</v>
          </cell>
          <cell r="AB146">
            <v>0.41274614975188528</v>
          </cell>
          <cell r="AC146">
            <v>0.36149009193955967</v>
          </cell>
          <cell r="AD146">
            <v>0.5</v>
          </cell>
          <cell r="AF146">
            <v>0</v>
          </cell>
          <cell r="AG146">
            <v>0.65809685006484264</v>
          </cell>
        </row>
        <row r="147">
          <cell r="W147">
            <v>67</v>
          </cell>
          <cell r="X147">
            <v>0.59894080111790404</v>
          </cell>
          <cell r="Y147">
            <v>0.54685899232504287</v>
          </cell>
          <cell r="Z147">
            <v>0.49477718353218164</v>
          </cell>
          <cell r="AA147">
            <v>0.44790355561860656</v>
          </cell>
          <cell r="AB147">
            <v>0.39842583726538838</v>
          </cell>
          <cell r="AC147">
            <v>0.34894811891217026</v>
          </cell>
          <cell r="AD147">
            <v>0.5</v>
          </cell>
        </row>
        <row r="148">
          <cell r="W148">
            <v>74</v>
          </cell>
          <cell r="X148">
            <v>0.58019460439983916</v>
          </cell>
          <cell r="Y148">
            <v>0.52974289966941845</v>
          </cell>
          <cell r="Z148">
            <v>0.47929119493899758</v>
          </cell>
          <cell r="AA148">
            <v>0.43388466068161885</v>
          </cell>
          <cell r="AB148">
            <v>0.38595554118771913</v>
          </cell>
          <cell r="AC148">
            <v>0.33802642169381936</v>
          </cell>
          <cell r="AD148">
            <v>0.5</v>
          </cell>
        </row>
        <row r="149">
          <cell r="W149">
            <v>85</v>
          </cell>
          <cell r="X149">
            <v>0.55502657741845662</v>
          </cell>
          <cell r="Y149">
            <v>0.50676339677337356</v>
          </cell>
          <cell r="Z149">
            <v>0.45850021612829028</v>
          </cell>
          <cell r="AA149">
            <v>0.41506335354771545</v>
          </cell>
          <cell r="AB149">
            <v>0.36921333193488642</v>
          </cell>
          <cell r="AC149">
            <v>0.3233633103220574</v>
          </cell>
          <cell r="AD149">
            <v>0.5</v>
          </cell>
        </row>
        <row r="150">
          <cell r="W150">
            <v>95</v>
          </cell>
          <cell r="X150">
            <v>0.53561937985188623</v>
          </cell>
          <cell r="Y150">
            <v>0.48904378160389622</v>
          </cell>
          <cell r="Z150">
            <v>0.44246818335590604</v>
          </cell>
          <cell r="AA150">
            <v>0.40055014493271496</v>
          </cell>
          <cell r="AB150">
            <v>0.35630332659712438</v>
          </cell>
          <cell r="AC150">
            <v>0.31205650826153375</v>
          </cell>
          <cell r="AD150">
            <v>0.5</v>
          </cell>
        </row>
        <row r="151">
          <cell r="W151">
            <v>105</v>
          </cell>
          <cell r="X151">
            <v>0.5187370409163693</v>
          </cell>
          <cell r="Y151">
            <v>0.4736294721410329</v>
          </cell>
          <cell r="Z151">
            <v>0.4285219033656964</v>
          </cell>
          <cell r="AA151">
            <v>0.38792509146789361</v>
          </cell>
          <cell r="AB151">
            <v>0.34507290113132394</v>
          </cell>
          <cell r="AC151">
            <v>0.30222071079475432</v>
          </cell>
          <cell r="AD151">
            <v>0.5</v>
          </cell>
        </row>
        <row r="171">
          <cell r="AJ171">
            <v>120</v>
          </cell>
          <cell r="AL171">
            <v>-1.9</v>
          </cell>
          <cell r="AN171">
            <v>120</v>
          </cell>
          <cell r="AO171">
            <v>3.8</v>
          </cell>
        </row>
        <row r="172">
          <cell r="AJ172">
            <v>114.41551070947108</v>
          </cell>
          <cell r="AL172">
            <v>-1.7272727272727271</v>
          </cell>
          <cell r="AN172">
            <v>114.41551070947108</v>
          </cell>
          <cell r="AO172">
            <v>3.4545454545454541</v>
          </cell>
          <cell r="AT172">
            <v>120</v>
          </cell>
        </row>
        <row r="173">
          <cell r="AJ173">
            <v>104.4465935734187</v>
          </cell>
          <cell r="AL173">
            <v>-1.4393939393939392</v>
          </cell>
          <cell r="AN173">
            <v>104.4465935734187</v>
          </cell>
          <cell r="AO173">
            <v>2.8787878787878785</v>
          </cell>
          <cell r="AT173">
            <v>3.8</v>
          </cell>
        </row>
        <row r="174">
          <cell r="AJ174">
            <v>91.605722482868885</v>
          </cell>
          <cell r="AL174">
            <v>-1.1072261072261071</v>
          </cell>
          <cell r="AN174">
            <v>91.605722482868885</v>
          </cell>
          <cell r="AO174">
            <v>2.2144522144522143</v>
          </cell>
        </row>
        <row r="175">
          <cell r="W175">
            <v>0</v>
          </cell>
          <cell r="X175">
            <v>1</v>
          </cell>
          <cell r="Y175">
            <v>1</v>
          </cell>
          <cell r="Z175">
            <v>1</v>
          </cell>
          <cell r="AA175">
            <v>1</v>
          </cell>
          <cell r="AJ175">
            <v>77.420966113876361</v>
          </cell>
          <cell r="AL175">
            <v>-0.79087579087579085</v>
          </cell>
          <cell r="AN175">
            <v>77.420966113876389</v>
          </cell>
          <cell r="AO175">
            <v>1.5817515817515817</v>
          </cell>
          <cell r="AT175">
            <v>190</v>
          </cell>
        </row>
        <row r="176">
          <cell r="W176">
            <v>120</v>
          </cell>
          <cell r="X176">
            <v>3.8</v>
          </cell>
          <cell r="Y176">
            <v>-1.9</v>
          </cell>
          <cell r="AD176">
            <v>120</v>
          </cell>
          <cell r="AE176">
            <v>3.8</v>
          </cell>
          <cell r="AJ176">
            <v>63.213954124101384</v>
          </cell>
          <cell r="AL176">
            <v>-0.52725052725052723</v>
          </cell>
          <cell r="AN176">
            <v>63.213954124101392</v>
          </cell>
          <cell r="AO176">
            <v>1.0545010545010545</v>
          </cell>
          <cell r="AT176">
            <v>3.8</v>
          </cell>
        </row>
        <row r="177">
          <cell r="AD177">
            <v>160</v>
          </cell>
          <cell r="AE177">
            <v>4.1446586566634815</v>
          </cell>
          <cell r="AG177">
            <v>120</v>
          </cell>
          <cell r="AH177">
            <v>3.8</v>
          </cell>
          <cell r="AJ177">
            <v>49.975018734388655</v>
          </cell>
          <cell r="AL177">
            <v>-0.32953157953157952</v>
          </cell>
          <cell r="AN177">
            <v>49.975018734388655</v>
          </cell>
          <cell r="AO177">
            <v>0.65906315906315904</v>
          </cell>
        </row>
        <row r="178">
          <cell r="AD178">
            <v>190</v>
          </cell>
          <cell r="AE178">
            <v>3.8</v>
          </cell>
          <cell r="AG178">
            <v>190</v>
          </cell>
          <cell r="AH178">
            <v>3.8</v>
          </cell>
          <cell r="AJ178">
            <v>47.649310760087197</v>
          </cell>
          <cell r="AL178">
            <v>-0.29957416321052682</v>
          </cell>
          <cell r="AN178">
            <v>47.649310760087197</v>
          </cell>
          <cell r="AO178">
            <v>0.59914832642105365</v>
          </cell>
          <cell r="AT178">
            <v>190</v>
          </cell>
        </row>
        <row r="179">
          <cell r="W179">
            <v>0</v>
          </cell>
          <cell r="Z179">
            <v>1</v>
          </cell>
          <cell r="AA179">
            <v>1</v>
          </cell>
          <cell r="AD179">
            <v>190</v>
          </cell>
          <cell r="AE179">
            <v>-1.9</v>
          </cell>
          <cell r="AJ179">
            <v>35.515699313522376</v>
          </cell>
          <cell r="AL179">
            <v>-0.16643009067251491</v>
          </cell>
          <cell r="AN179">
            <v>35.515699313522383</v>
          </cell>
          <cell r="AO179">
            <v>0.33286018134502982</v>
          </cell>
          <cell r="AT179">
            <v>-1.9</v>
          </cell>
        </row>
        <row r="180">
          <cell r="W180">
            <v>190</v>
          </cell>
          <cell r="Z180">
            <v>3.8</v>
          </cell>
          <cell r="AA180">
            <v>-1.9</v>
          </cell>
          <cell r="AD180">
            <v>160</v>
          </cell>
          <cell r="AE180">
            <v>-2.2104274274893849</v>
          </cell>
          <cell r="AG180">
            <v>120</v>
          </cell>
          <cell r="AH180">
            <v>-1.9</v>
          </cell>
          <cell r="AJ180">
            <v>25.765796358008931</v>
          </cell>
          <cell r="AL180">
            <v>-8.759478456448154E-2</v>
          </cell>
          <cell r="AN180">
            <v>25.765796358008934</v>
          </cell>
          <cell r="AO180">
            <v>0.17518956912896308</v>
          </cell>
        </row>
        <row r="181">
          <cell r="AD181">
            <v>120</v>
          </cell>
          <cell r="AE181">
            <v>-1.9</v>
          </cell>
          <cell r="AG181">
            <v>190</v>
          </cell>
          <cell r="AH181">
            <v>-1.9</v>
          </cell>
          <cell r="AJ181">
            <v>18.219169327419767</v>
          </cell>
          <cell r="AL181">
            <v>-4.379739228224077E-2</v>
          </cell>
          <cell r="AN181">
            <v>18.219169327419767</v>
          </cell>
          <cell r="AO181">
            <v>8.759478456448154E-2</v>
          </cell>
          <cell r="AT181">
            <v>160</v>
          </cell>
        </row>
        <row r="182">
          <cell r="AJ182">
            <v>12.882898179004465</v>
          </cell>
          <cell r="AL182">
            <v>-2.1898696141120385E-2</v>
          </cell>
          <cell r="AN182">
            <v>12.882898179004467</v>
          </cell>
          <cell r="AO182">
            <v>4.379739228224077E-2</v>
          </cell>
          <cell r="AT182">
            <v>-2.2104274274893849</v>
          </cell>
        </row>
        <row r="183">
          <cell r="AG183">
            <v>120</v>
          </cell>
          <cell r="AH183">
            <v>4.18</v>
          </cell>
          <cell r="AJ183">
            <v>9.1095846637098834</v>
          </cell>
          <cell r="AL183">
            <v>-1.0949348070560192E-2</v>
          </cell>
          <cell r="AN183">
            <v>9.1095846637098834</v>
          </cell>
          <cell r="AO183">
            <v>2.1898696141120385E-2</v>
          </cell>
        </row>
        <row r="184">
          <cell r="AG184">
            <v>120</v>
          </cell>
          <cell r="AH184">
            <v>-2.09</v>
          </cell>
          <cell r="AJ184">
            <v>6.4414490895022327</v>
          </cell>
          <cell r="AL184">
            <v>-5.4746740352800962E-3</v>
          </cell>
          <cell r="AN184">
            <v>6.4414490895022336</v>
          </cell>
          <cell r="AO184">
            <v>1.0949348070560192E-2</v>
          </cell>
          <cell r="AT184">
            <v>120</v>
          </cell>
        </row>
        <row r="185">
          <cell r="AJ185">
            <v>4.5547923318549417</v>
          </cell>
          <cell r="AL185">
            <v>-2.7373370176400481E-3</v>
          </cell>
          <cell r="AN185">
            <v>4.5547923318549417</v>
          </cell>
          <cell r="AO185">
            <v>5.4746740352800962E-3</v>
          </cell>
          <cell r="AT185">
            <v>-1.9</v>
          </cell>
        </row>
        <row r="186">
          <cell r="AG186">
            <v>160</v>
          </cell>
          <cell r="AH186">
            <v>4.5591245223298298</v>
          </cell>
          <cell r="AJ186">
            <v>3.2207245447511164</v>
          </cell>
          <cell r="AL186">
            <v>-1.3686685088200241E-3</v>
          </cell>
          <cell r="AN186">
            <v>3.2207245447511168</v>
          </cell>
          <cell r="AO186">
            <v>2.7373370176400481E-3</v>
          </cell>
        </row>
        <row r="187">
          <cell r="AG187">
            <v>160</v>
          </cell>
          <cell r="AH187">
            <v>-2.4314701702383235</v>
          </cell>
          <cell r="AL187">
            <v>0</v>
          </cell>
          <cell r="AN187">
            <v>0</v>
          </cell>
          <cell r="AO187">
            <v>0</v>
          </cell>
        </row>
        <row r="188">
          <cell r="AT188">
            <v>160</v>
          </cell>
        </row>
        <row r="189">
          <cell r="AT189">
            <v>4.1446586566634815</v>
          </cell>
        </row>
        <row r="194">
          <cell r="AJ194">
            <v>120</v>
          </cell>
          <cell r="AL194">
            <v>-1.9</v>
          </cell>
          <cell r="AN194">
            <v>120</v>
          </cell>
          <cell r="AO194">
            <v>3.8</v>
          </cell>
        </row>
        <row r="195">
          <cell r="AJ195">
            <v>114.41551070947108</v>
          </cell>
          <cell r="AL195">
            <v>-1.7272727272727271</v>
          </cell>
          <cell r="AN195">
            <v>114.41551070947108</v>
          </cell>
          <cell r="AO195">
            <v>3.4545454545454541</v>
          </cell>
          <cell r="AT195">
            <v>120</v>
          </cell>
        </row>
        <row r="196">
          <cell r="AJ196">
            <v>104.4465935734187</v>
          </cell>
          <cell r="AL196">
            <v>-1.4393939393939392</v>
          </cell>
          <cell r="AN196">
            <v>104.4465935734187</v>
          </cell>
          <cell r="AO196">
            <v>2.8787878787878785</v>
          </cell>
          <cell r="AT196">
            <v>3.8</v>
          </cell>
        </row>
        <row r="197">
          <cell r="AJ197">
            <v>91.605722482868885</v>
          </cell>
          <cell r="AL197">
            <v>-1.1072261072261071</v>
          </cell>
          <cell r="AN197">
            <v>91.605722482868885</v>
          </cell>
          <cell r="AO197">
            <v>2.2144522144522143</v>
          </cell>
        </row>
        <row r="198">
          <cell r="W198">
            <v>0</v>
          </cell>
          <cell r="X198">
            <v>1</v>
          </cell>
          <cell r="Y198">
            <v>1</v>
          </cell>
          <cell r="Z198">
            <v>1</v>
          </cell>
          <cell r="AA198">
            <v>1</v>
          </cell>
          <cell r="AJ198">
            <v>77.420966113876361</v>
          </cell>
          <cell r="AL198">
            <v>-0.79087579087579085</v>
          </cell>
          <cell r="AN198">
            <v>77.420966113876389</v>
          </cell>
          <cell r="AO198">
            <v>1.5817515817515817</v>
          </cell>
          <cell r="AT198">
            <v>190</v>
          </cell>
        </row>
        <row r="199">
          <cell r="W199">
            <v>120</v>
          </cell>
          <cell r="X199">
            <v>3.8</v>
          </cell>
          <cell r="Y199">
            <v>-1.9</v>
          </cell>
          <cell r="AD199">
            <v>120</v>
          </cell>
          <cell r="AE199">
            <v>3.8</v>
          </cell>
          <cell r="AJ199">
            <v>63.213954124101384</v>
          </cell>
          <cell r="AL199">
            <v>-0.52725052725052723</v>
          </cell>
          <cell r="AN199">
            <v>63.213954124101392</v>
          </cell>
          <cell r="AO199">
            <v>1.0545010545010545</v>
          </cell>
          <cell r="AT199">
            <v>3.8</v>
          </cell>
        </row>
        <row r="200">
          <cell r="AD200">
            <v>160</v>
          </cell>
          <cell r="AE200">
            <v>4.4925653815640638</v>
          </cell>
          <cell r="AG200">
            <v>120</v>
          </cell>
          <cell r="AH200">
            <v>3.8</v>
          </cell>
          <cell r="AJ200">
            <v>49.975018734388655</v>
          </cell>
          <cell r="AL200">
            <v>-0.32953157953157952</v>
          </cell>
          <cell r="AN200">
            <v>49.975018734388655</v>
          </cell>
          <cell r="AO200">
            <v>0.65906315906315904</v>
          </cell>
        </row>
        <row r="201">
          <cell r="AD201">
            <v>190</v>
          </cell>
          <cell r="AE201">
            <v>3.8</v>
          </cell>
          <cell r="AG201">
            <v>190</v>
          </cell>
          <cell r="AH201">
            <v>3.8</v>
          </cell>
          <cell r="AJ201">
            <v>47.649310760087197</v>
          </cell>
          <cell r="AL201">
            <v>-0.29957416321052682</v>
          </cell>
          <cell r="AN201">
            <v>47.649310760087197</v>
          </cell>
          <cell r="AO201">
            <v>0.59914832642105365</v>
          </cell>
          <cell r="AT201">
            <v>190</v>
          </cell>
        </row>
        <row r="202">
          <cell r="W202">
            <v>0</v>
          </cell>
          <cell r="Z202">
            <v>1</v>
          </cell>
          <cell r="AA202">
            <v>1</v>
          </cell>
          <cell r="AD202">
            <v>190</v>
          </cell>
          <cell r="AE202">
            <v>-1.9</v>
          </cell>
          <cell r="AJ202">
            <v>35.515699313522376</v>
          </cell>
          <cell r="AL202">
            <v>-0.16643009067251491</v>
          </cell>
          <cell r="AN202">
            <v>35.515699313522383</v>
          </cell>
          <cell r="AO202">
            <v>0.33286018134502982</v>
          </cell>
          <cell r="AT202">
            <v>-1.9</v>
          </cell>
        </row>
        <row r="203">
          <cell r="W203">
            <v>190</v>
          </cell>
          <cell r="Z203">
            <v>3.8</v>
          </cell>
          <cell r="AA203">
            <v>-1.9</v>
          </cell>
          <cell r="AD203">
            <v>160</v>
          </cell>
          <cell r="AE203">
            <v>-2.5007680302464017</v>
          </cell>
          <cell r="AG203">
            <v>120</v>
          </cell>
          <cell r="AH203">
            <v>-1.9</v>
          </cell>
          <cell r="AJ203">
            <v>25.765796358008931</v>
          </cell>
          <cell r="AL203">
            <v>-8.759478456448154E-2</v>
          </cell>
          <cell r="AN203">
            <v>25.765796358008934</v>
          </cell>
          <cell r="AO203">
            <v>0.17518956912896308</v>
          </cell>
        </row>
        <row r="204">
          <cell r="AD204">
            <v>120</v>
          </cell>
          <cell r="AE204">
            <v>-1.9</v>
          </cell>
          <cell r="AG204">
            <v>190</v>
          </cell>
          <cell r="AH204">
            <v>-1.9</v>
          </cell>
          <cell r="AJ204">
            <v>18.219169327419767</v>
          </cell>
          <cell r="AL204">
            <v>-4.379739228224077E-2</v>
          </cell>
          <cell r="AN204">
            <v>18.219169327419767</v>
          </cell>
          <cell r="AO204">
            <v>8.759478456448154E-2</v>
          </cell>
          <cell r="AT204">
            <v>160</v>
          </cell>
        </row>
        <row r="205">
          <cell r="AJ205">
            <v>12.882898179004465</v>
          </cell>
          <cell r="AL205">
            <v>-2.1898696141120385E-2</v>
          </cell>
          <cell r="AN205">
            <v>12.882898179004467</v>
          </cell>
          <cell r="AO205">
            <v>4.379739228224077E-2</v>
          </cell>
          <cell r="AT205">
            <v>-2.5007680302464017</v>
          </cell>
        </row>
        <row r="206">
          <cell r="AG206">
            <v>120</v>
          </cell>
          <cell r="AH206">
            <v>4.18</v>
          </cell>
          <cell r="AJ206">
            <v>9.1095846637098834</v>
          </cell>
          <cell r="AL206">
            <v>-1.0949348070560192E-2</v>
          </cell>
          <cell r="AN206">
            <v>9.1095846637098834</v>
          </cell>
          <cell r="AO206">
            <v>2.1898696141120385E-2</v>
          </cell>
        </row>
        <row r="207">
          <cell r="AG207">
            <v>120</v>
          </cell>
          <cell r="AH207">
            <v>-2.09</v>
          </cell>
          <cell r="AJ207">
            <v>6.4414490895022327</v>
          </cell>
          <cell r="AL207">
            <v>-5.4746740352800962E-3</v>
          </cell>
          <cell r="AN207">
            <v>6.4414490895022336</v>
          </cell>
          <cell r="AO207">
            <v>1.0949348070560192E-2</v>
          </cell>
          <cell r="AT207">
            <v>120</v>
          </cell>
        </row>
        <row r="208">
          <cell r="AJ208">
            <v>4.5547923318549417</v>
          </cell>
          <cell r="AL208">
            <v>-2.7373370176400481E-3</v>
          </cell>
          <cell r="AN208">
            <v>4.5547923318549417</v>
          </cell>
          <cell r="AO208">
            <v>5.4746740352800962E-3</v>
          </cell>
          <cell r="AT208">
            <v>-1.9</v>
          </cell>
        </row>
        <row r="209">
          <cell r="AG209">
            <v>160</v>
          </cell>
          <cell r="AH209">
            <v>4.9418219197204705</v>
          </cell>
          <cell r="AJ209">
            <v>3.2207245447511164</v>
          </cell>
          <cell r="AL209">
            <v>-1.3686685088200241E-3</v>
          </cell>
          <cell r="AN209">
            <v>3.2207245447511168</v>
          </cell>
          <cell r="AO209">
            <v>2.7373370176400481E-3</v>
          </cell>
        </row>
        <row r="210">
          <cell r="AG210">
            <v>160</v>
          </cell>
          <cell r="AH210">
            <v>-2.7508448332710422</v>
          </cell>
          <cell r="AL210">
            <v>0</v>
          </cell>
          <cell r="AN210">
            <v>0</v>
          </cell>
          <cell r="AO210">
            <v>0</v>
          </cell>
        </row>
        <row r="211">
          <cell r="AT211">
            <v>160</v>
          </cell>
        </row>
        <row r="212">
          <cell r="AT212">
            <v>4.4925653815640638</v>
          </cell>
        </row>
        <row r="227">
          <cell r="X227">
            <v>0</v>
          </cell>
        </row>
        <row r="228">
          <cell r="X228">
            <v>5</v>
          </cell>
        </row>
        <row r="229">
          <cell r="X229">
            <v>7</v>
          </cell>
        </row>
        <row r="230">
          <cell r="X230">
            <v>9</v>
          </cell>
          <cell r="Y230">
            <v>10.98</v>
          </cell>
          <cell r="Z230">
            <v>9.6059999999999999</v>
          </cell>
        </row>
        <row r="231">
          <cell r="X231">
            <v>11</v>
          </cell>
          <cell r="Y231">
            <v>12.138846732700763</v>
          </cell>
          <cell r="Z231">
            <v>10.673999999999999</v>
          </cell>
          <cell r="AB231">
            <v>48.223350253807105</v>
          </cell>
          <cell r="AC231">
            <v>0</v>
          </cell>
        </row>
        <row r="232">
          <cell r="X232">
            <v>13</v>
          </cell>
          <cell r="Y232">
            <v>13.196317668198201</v>
          </cell>
          <cell r="Z232">
            <v>11.742000000000001</v>
          </cell>
          <cell r="AB232">
            <v>48.223350253807105</v>
          </cell>
          <cell r="AC232">
            <v>25.751269035532996</v>
          </cell>
        </row>
        <row r="233">
          <cell r="X233">
            <v>15</v>
          </cell>
          <cell r="Y233">
            <v>14.175119047119146</v>
          </cell>
          <cell r="Z233">
            <v>12.809999999999999</v>
          </cell>
          <cell r="AB233">
            <v>0</v>
          </cell>
          <cell r="AC233">
            <v>25.751269035532996</v>
          </cell>
        </row>
        <row r="234">
          <cell r="X234">
            <v>17</v>
          </cell>
          <cell r="Y234">
            <v>15.090566589760638</v>
          </cell>
          <cell r="Z234">
            <v>13.878</v>
          </cell>
        </row>
        <row r="235">
          <cell r="X235">
            <v>21</v>
          </cell>
          <cell r="Y235">
            <v>16.772227043538376</v>
          </cell>
          <cell r="Z235">
            <v>16.013999999999999</v>
          </cell>
          <cell r="AB235">
            <v>48.223350253807105</v>
          </cell>
          <cell r="AC235">
            <v>0</v>
          </cell>
        </row>
        <row r="236">
          <cell r="X236">
            <v>25</v>
          </cell>
          <cell r="Y236">
            <v>18.3</v>
          </cell>
          <cell r="Z236">
            <v>18.150000000000002</v>
          </cell>
          <cell r="AB236">
            <v>48.223350253807105</v>
          </cell>
          <cell r="AC236">
            <v>30.551269035532997</v>
          </cell>
        </row>
        <row r="237">
          <cell r="X237">
            <v>29</v>
          </cell>
          <cell r="Y237">
            <v>19.709703194112283</v>
          </cell>
          <cell r="Z237">
            <v>20.286000000000001</v>
          </cell>
          <cell r="AB237">
            <v>0</v>
          </cell>
          <cell r="AC237">
            <v>30.551269035532997</v>
          </cell>
        </row>
        <row r="238">
          <cell r="X238">
            <v>33</v>
          </cell>
          <cell r="Y238">
            <v>21.025099286329187</v>
          </cell>
          <cell r="Z238">
            <v>22.422000000000001</v>
          </cell>
        </row>
        <row r="239">
          <cell r="X239">
            <v>37</v>
          </cell>
          <cell r="Y239">
            <v>22.262910860891484</v>
          </cell>
          <cell r="Z239">
            <v>24.558000000000003</v>
          </cell>
        </row>
        <row r="240">
          <cell r="X240">
            <v>41</v>
          </cell>
          <cell r="Y240">
            <v>23.435434709004227</v>
          </cell>
          <cell r="Z240">
            <v>26.694000000000003</v>
          </cell>
        </row>
        <row r="241">
          <cell r="X241">
            <v>43</v>
          </cell>
          <cell r="Y241">
            <v>24.000224998945324</v>
          </cell>
          <cell r="Z241">
            <v>27.762</v>
          </cell>
        </row>
        <row r="242">
          <cell r="X242">
            <v>45</v>
          </cell>
          <cell r="Y242">
            <v>24.552026392947692</v>
          </cell>
          <cell r="Z242">
            <v>28.830000000000002</v>
          </cell>
        </row>
        <row r="243">
          <cell r="X243">
            <v>47</v>
          </cell>
          <cell r="Y243">
            <v>25.098000000000003</v>
          </cell>
          <cell r="Z243">
            <v>29.898000000000003</v>
          </cell>
        </row>
        <row r="244">
          <cell r="X244">
            <v>49</v>
          </cell>
          <cell r="Y244">
            <v>26.166</v>
          </cell>
          <cell r="Z244">
            <v>30.966000000000001</v>
          </cell>
        </row>
        <row r="245">
          <cell r="X245">
            <v>59</v>
          </cell>
          <cell r="Y245">
            <v>31.506</v>
          </cell>
          <cell r="Z245">
            <v>36.305999999999997</v>
          </cell>
        </row>
        <row r="246">
          <cell r="X246">
            <v>69</v>
          </cell>
          <cell r="Y246">
            <v>36.846000000000004</v>
          </cell>
          <cell r="Z246">
            <v>41.646000000000001</v>
          </cell>
        </row>
        <row r="247">
          <cell r="X247">
            <v>79</v>
          </cell>
          <cell r="Y247">
            <v>42.186</v>
          </cell>
          <cell r="Z247">
            <v>46.985999999999997</v>
          </cell>
        </row>
        <row r="248">
          <cell r="X248">
            <v>89</v>
          </cell>
          <cell r="Y248">
            <v>47.526000000000003</v>
          </cell>
          <cell r="Z248">
            <v>52.326000000000001</v>
          </cell>
        </row>
        <row r="249">
          <cell r="X249">
            <v>99</v>
          </cell>
          <cell r="Y249">
            <v>52.866</v>
          </cell>
          <cell r="Z249">
            <v>57.665999999999997</v>
          </cell>
        </row>
        <row r="250">
          <cell r="X250">
            <v>109</v>
          </cell>
          <cell r="Y250">
            <v>58.206000000000003</v>
          </cell>
          <cell r="Z250">
            <v>63.006</v>
          </cell>
        </row>
        <row r="251">
          <cell r="X251">
            <v>120</v>
          </cell>
          <cell r="Y251">
            <v>64.08</v>
          </cell>
          <cell r="Z251">
            <v>68.88</v>
          </cell>
        </row>
        <row r="284">
          <cell r="X284">
            <v>0</v>
          </cell>
          <cell r="Y284">
            <v>0</v>
          </cell>
          <cell r="Z284">
            <v>0</v>
          </cell>
          <cell r="AA284">
            <v>0</v>
          </cell>
        </row>
        <row r="285">
          <cell r="X285">
            <v>5</v>
          </cell>
          <cell r="Y285">
            <v>3.9000000000000004</v>
          </cell>
          <cell r="Z285">
            <v>3.2</v>
          </cell>
          <cell r="AA285">
            <v>2.33</v>
          </cell>
        </row>
        <row r="286">
          <cell r="X286">
            <v>7</v>
          </cell>
          <cell r="Y286">
            <v>5.46</v>
          </cell>
          <cell r="Z286">
            <v>4.4800000000000004</v>
          </cell>
          <cell r="AA286">
            <v>3.262</v>
          </cell>
        </row>
        <row r="287">
          <cell r="X287">
            <v>9</v>
          </cell>
          <cell r="Y287">
            <v>7.0200000000000005</v>
          </cell>
          <cell r="Z287">
            <v>5.76</v>
          </cell>
          <cell r="AA287">
            <v>4.194</v>
          </cell>
        </row>
        <row r="288">
          <cell r="X288">
            <v>11</v>
          </cell>
          <cell r="Y288">
            <v>8.58</v>
          </cell>
          <cell r="Z288">
            <v>7.04</v>
          </cell>
          <cell r="AA288">
            <v>5.1260000000000003</v>
          </cell>
          <cell r="AB288">
            <v>48.223350253807105</v>
          </cell>
          <cell r="AC288">
            <v>0</v>
          </cell>
        </row>
        <row r="289">
          <cell r="X289">
            <v>13</v>
          </cell>
          <cell r="Y289">
            <v>10.14</v>
          </cell>
          <cell r="Z289">
            <v>8.32</v>
          </cell>
          <cell r="AA289">
            <v>6.0580000000000007</v>
          </cell>
          <cell r="AB289">
            <v>48.223350253807105</v>
          </cell>
          <cell r="AC289">
            <v>37.614213197969541</v>
          </cell>
        </row>
        <row r="290">
          <cell r="X290">
            <v>15</v>
          </cell>
          <cell r="Y290">
            <v>11.700000000000001</v>
          </cell>
          <cell r="Z290">
            <v>9.6</v>
          </cell>
          <cell r="AA290">
            <v>6.99</v>
          </cell>
          <cell r="AB290">
            <v>0</v>
          </cell>
          <cell r="AC290">
            <v>37.614213197969541</v>
          </cell>
        </row>
        <row r="291">
          <cell r="X291">
            <v>17</v>
          </cell>
          <cell r="Y291">
            <v>13.26</v>
          </cell>
          <cell r="Z291">
            <v>10.88</v>
          </cell>
          <cell r="AA291">
            <v>7.9220000000000006</v>
          </cell>
        </row>
        <row r="292">
          <cell r="X292">
            <v>21</v>
          </cell>
          <cell r="Y292">
            <v>16.38</v>
          </cell>
          <cell r="Z292">
            <v>13.44</v>
          </cell>
          <cell r="AA292">
            <v>9.7860000000000014</v>
          </cell>
          <cell r="AB292">
            <v>48.223350253807105</v>
          </cell>
          <cell r="AC292">
            <v>0</v>
          </cell>
        </row>
        <row r="293">
          <cell r="X293">
            <v>25</v>
          </cell>
          <cell r="Y293">
            <v>19.5</v>
          </cell>
          <cell r="Z293">
            <v>16</v>
          </cell>
          <cell r="AA293">
            <v>11.65</v>
          </cell>
          <cell r="AB293">
            <v>48.223350253807105</v>
          </cell>
          <cell r="AC293">
            <v>30.862944162436548</v>
          </cell>
        </row>
        <row r="294">
          <cell r="X294">
            <v>29</v>
          </cell>
          <cell r="Y294">
            <v>22.62</v>
          </cell>
          <cell r="Z294">
            <v>18.559999999999999</v>
          </cell>
          <cell r="AA294">
            <v>13.514000000000001</v>
          </cell>
          <cell r="AB294">
            <v>0</v>
          </cell>
          <cell r="AC294">
            <v>30.862944162436548</v>
          </cell>
        </row>
        <row r="295">
          <cell r="X295">
            <v>33</v>
          </cell>
          <cell r="Y295">
            <v>25.740000000000002</v>
          </cell>
          <cell r="Z295">
            <v>21.12</v>
          </cell>
          <cell r="AA295">
            <v>15.378</v>
          </cell>
        </row>
        <row r="296">
          <cell r="X296">
            <v>37</v>
          </cell>
          <cell r="Y296">
            <v>28.86</v>
          </cell>
          <cell r="Z296">
            <v>23.68</v>
          </cell>
          <cell r="AA296">
            <v>17.242000000000001</v>
          </cell>
          <cell r="AB296">
            <v>48.223350253807105</v>
          </cell>
          <cell r="AC296">
            <v>0</v>
          </cell>
        </row>
        <row r="297">
          <cell r="X297">
            <v>41</v>
          </cell>
          <cell r="Y297">
            <v>31.98</v>
          </cell>
          <cell r="Z297">
            <v>26.240000000000002</v>
          </cell>
          <cell r="AA297">
            <v>19.106000000000002</v>
          </cell>
          <cell r="AB297">
            <v>48.223350253807105</v>
          </cell>
          <cell r="AC297">
            <v>22.472081218274113</v>
          </cell>
        </row>
        <row r="298">
          <cell r="X298">
            <v>43</v>
          </cell>
          <cell r="Y298">
            <v>33.54</v>
          </cell>
          <cell r="Z298">
            <v>27.52</v>
          </cell>
          <cell r="AA298">
            <v>20.038</v>
          </cell>
          <cell r="AB298">
            <v>0</v>
          </cell>
          <cell r="AC298">
            <v>22.472081218274113</v>
          </cell>
        </row>
        <row r="299">
          <cell r="X299">
            <v>45</v>
          </cell>
          <cell r="Y299">
            <v>35.1</v>
          </cell>
          <cell r="Z299">
            <v>28.8</v>
          </cell>
          <cell r="AA299">
            <v>20.970000000000002</v>
          </cell>
        </row>
        <row r="300">
          <cell r="X300">
            <v>47</v>
          </cell>
          <cell r="Y300">
            <v>36.660000000000004</v>
          </cell>
          <cell r="Z300">
            <v>30.080000000000002</v>
          </cell>
          <cell r="AA300">
            <v>21.902000000000001</v>
          </cell>
        </row>
        <row r="301">
          <cell r="X301">
            <v>49</v>
          </cell>
          <cell r="Y301">
            <v>38.22</v>
          </cell>
          <cell r="Z301">
            <v>31.36</v>
          </cell>
          <cell r="AA301">
            <v>22.834</v>
          </cell>
        </row>
        <row r="302">
          <cell r="X302">
            <v>59</v>
          </cell>
          <cell r="Y302">
            <v>46.02</v>
          </cell>
          <cell r="Z302">
            <v>37.76</v>
          </cell>
          <cell r="AA302">
            <v>27.494</v>
          </cell>
        </row>
        <row r="303">
          <cell r="X303">
            <v>69</v>
          </cell>
          <cell r="Y303">
            <v>53.82</v>
          </cell>
          <cell r="Z303">
            <v>44.160000000000004</v>
          </cell>
          <cell r="AA303">
            <v>32.154000000000003</v>
          </cell>
        </row>
        <row r="304">
          <cell r="X304">
            <v>79</v>
          </cell>
          <cell r="Y304">
            <v>61.620000000000005</v>
          </cell>
          <cell r="Z304">
            <v>50.56</v>
          </cell>
          <cell r="AA304">
            <v>36.814</v>
          </cell>
        </row>
        <row r="305">
          <cell r="X305">
            <v>89</v>
          </cell>
          <cell r="Y305">
            <v>69.42</v>
          </cell>
          <cell r="Z305">
            <v>56.96</v>
          </cell>
          <cell r="AA305">
            <v>41.474000000000004</v>
          </cell>
        </row>
        <row r="306">
          <cell r="X306">
            <v>99</v>
          </cell>
          <cell r="Y306">
            <v>77.22</v>
          </cell>
          <cell r="Z306">
            <v>63.36</v>
          </cell>
          <cell r="AA306">
            <v>46.134</v>
          </cell>
        </row>
        <row r="307">
          <cell r="X307">
            <v>109</v>
          </cell>
          <cell r="Y307">
            <v>85.02</v>
          </cell>
          <cell r="Z307">
            <v>69.760000000000005</v>
          </cell>
          <cell r="AA307">
            <v>50.794000000000004</v>
          </cell>
        </row>
        <row r="308">
          <cell r="X308">
            <v>120</v>
          </cell>
          <cell r="Y308">
            <v>93.600000000000009</v>
          </cell>
          <cell r="Z308">
            <v>76.8</v>
          </cell>
          <cell r="AA308">
            <v>55.92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5" Type="http://schemas.openxmlformats.org/officeDocument/2006/relationships/hyperlink" Target="http://www.xl-viking.com/" TargetMode="External"/><Relationship Id="rId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95"/>
  <sheetViews>
    <sheetView tabSelected="1" view="pageBreakPreview" zoomScale="115" zoomScaleNormal="100" zoomScaleSheetLayoutView="115" workbookViewId="0">
      <selection activeCell="J15" sqref="J15"/>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16384" width="9.140625" style="22"/>
  </cols>
  <sheetData>
    <row r="1" spans="1:29" s="5" customFormat="1" ht="12.75" x14ac:dyDescent="0.2">
      <c r="A1" s="1"/>
      <c r="B1" s="2" t="s">
        <v>0</v>
      </c>
      <c r="C1" s="3" t="s">
        <v>1</v>
      </c>
      <c r="D1" s="1"/>
      <c r="E1" s="1"/>
      <c r="F1" s="2" t="s">
        <v>2</v>
      </c>
      <c r="G1" s="4">
        <f>SUM(M:M)</f>
        <v>6</v>
      </c>
      <c r="H1" s="1"/>
      <c r="I1" s="1"/>
      <c r="J1" s="1"/>
      <c r="K1" s="1"/>
      <c r="M1" s="39" t="s">
        <v>31</v>
      </c>
      <c r="N1" s="39" t="s">
        <v>32</v>
      </c>
      <c r="O1" s="39" t="s">
        <v>33</v>
      </c>
      <c r="P1" s="39" t="s">
        <v>33</v>
      </c>
      <c r="Q1" s="39" t="s">
        <v>33</v>
      </c>
      <c r="R1" s="39" t="s">
        <v>34</v>
      </c>
      <c r="S1" s="40" t="s">
        <v>35</v>
      </c>
      <c r="T1" s="41" t="s">
        <v>36</v>
      </c>
      <c r="W1" s="15" t="s">
        <v>37</v>
      </c>
      <c r="X1" s="16">
        <f>SUM(M:M)</f>
        <v>6</v>
      </c>
    </row>
    <row r="2" spans="1:29" s="5" customFormat="1" ht="12.75" x14ac:dyDescent="0.2">
      <c r="A2" s="1"/>
      <c r="B2" s="2" t="s">
        <v>3</v>
      </c>
      <c r="C2" s="3" t="s">
        <v>4</v>
      </c>
      <c r="D2" s="1"/>
      <c r="E2" s="1"/>
      <c r="F2" s="2" t="s">
        <v>5</v>
      </c>
      <c r="G2" s="3" t="s">
        <v>121</v>
      </c>
      <c r="H2" s="1"/>
      <c r="I2" s="1"/>
      <c r="J2" s="1"/>
      <c r="K2" s="1"/>
      <c r="M2" s="42" t="s">
        <v>38</v>
      </c>
      <c r="N2" s="42" t="s">
        <v>38</v>
      </c>
      <c r="O2" s="42" t="s">
        <v>32</v>
      </c>
      <c r="P2" s="42" t="s">
        <v>32</v>
      </c>
      <c r="Q2" s="42" t="s">
        <v>32</v>
      </c>
      <c r="R2" s="42" t="s">
        <v>38</v>
      </c>
      <c r="S2" s="43" t="s">
        <v>38</v>
      </c>
      <c r="T2" s="44"/>
      <c r="W2" s="15" t="s">
        <v>39</v>
      </c>
      <c r="X2" s="16">
        <f>SUM(N:N)</f>
        <v>0</v>
      </c>
    </row>
    <row r="3" spans="1:29" s="5" customFormat="1" ht="12.75" x14ac:dyDescent="0.2">
      <c r="A3" s="1"/>
      <c r="B3" s="2" t="s">
        <v>6</v>
      </c>
      <c r="C3" s="10" t="s">
        <v>40</v>
      </c>
      <c r="D3" s="1"/>
      <c r="E3" s="1"/>
      <c r="F3" s="2" t="s">
        <v>7</v>
      </c>
      <c r="G3" s="3" t="s">
        <v>41</v>
      </c>
      <c r="H3" s="1"/>
      <c r="I3" s="1"/>
      <c r="J3" s="1"/>
      <c r="K3" s="1"/>
      <c r="M3" s="42"/>
      <c r="N3" s="42"/>
      <c r="O3" s="42"/>
      <c r="P3" s="42"/>
      <c r="Q3" s="42"/>
      <c r="R3" s="42"/>
      <c r="S3" s="43"/>
      <c r="T3" s="44"/>
      <c r="W3" s="15" t="s">
        <v>42</v>
      </c>
      <c r="X3" s="16">
        <f>SUM(O:O)</f>
        <v>0</v>
      </c>
    </row>
    <row r="4" spans="1:29" s="5" customFormat="1" ht="12.75" x14ac:dyDescent="0.2">
      <c r="A4" s="1"/>
      <c r="B4" s="2" t="s">
        <v>8</v>
      </c>
      <c r="C4" s="4"/>
      <c r="D4" s="1"/>
      <c r="E4" s="1"/>
      <c r="F4" s="2" t="s">
        <v>9</v>
      </c>
      <c r="G4" s="3" t="s">
        <v>122</v>
      </c>
      <c r="H4" s="1"/>
      <c r="I4" s="1"/>
      <c r="J4" s="1"/>
      <c r="K4" s="1"/>
      <c r="M4" s="42"/>
      <c r="N4" s="42"/>
      <c r="O4" s="42"/>
      <c r="P4" s="42"/>
      <c r="Q4" s="45"/>
      <c r="R4" s="46"/>
      <c r="S4" s="47"/>
      <c r="T4" s="44"/>
      <c r="W4" s="15" t="s">
        <v>42</v>
      </c>
      <c r="X4" s="16">
        <f>SUM(P:P)</f>
        <v>0</v>
      </c>
    </row>
    <row r="5" spans="1:29" s="5" customFormat="1" ht="12.75" x14ac:dyDescent="0.2">
      <c r="A5" s="1"/>
      <c r="B5" s="2" t="s">
        <v>11</v>
      </c>
      <c r="C5" s="4" t="s">
        <v>43</v>
      </c>
      <c r="D5" s="1"/>
      <c r="E5" s="2"/>
      <c r="F5" s="1"/>
      <c r="G5" s="1"/>
      <c r="H5" s="1"/>
      <c r="I5" s="1"/>
      <c r="J5" s="1"/>
      <c r="K5" s="1"/>
      <c r="M5" s="42"/>
      <c r="N5" s="42"/>
      <c r="O5" s="42"/>
      <c r="P5" s="42"/>
      <c r="Q5" s="45"/>
      <c r="R5" s="46"/>
      <c r="S5" s="47"/>
      <c r="T5" s="44"/>
      <c r="W5" s="15" t="s">
        <v>42</v>
      </c>
      <c r="X5" s="16">
        <f>SUM(Q:Q)</f>
        <v>0</v>
      </c>
    </row>
    <row r="6" spans="1:29" s="5" customFormat="1" ht="12.75" x14ac:dyDescent="0.2">
      <c r="A6" s="1"/>
      <c r="B6" s="1" t="s">
        <v>12</v>
      </c>
      <c r="C6" s="13"/>
      <c r="D6" s="1"/>
      <c r="E6" s="1"/>
      <c r="F6" s="1"/>
      <c r="G6" s="1"/>
      <c r="H6" s="1"/>
      <c r="I6" s="1"/>
      <c r="J6" s="1"/>
      <c r="K6" s="1"/>
      <c r="M6" s="42"/>
      <c r="N6" s="42"/>
      <c r="O6" s="42"/>
      <c r="P6" s="42"/>
      <c r="Q6" s="45"/>
      <c r="R6" s="46"/>
      <c r="S6" s="47"/>
      <c r="T6" s="44"/>
      <c r="W6" s="15" t="s">
        <v>44</v>
      </c>
      <c r="X6" s="16">
        <f>SUM(R:R)</f>
        <v>0</v>
      </c>
    </row>
    <row r="7" spans="1:29" s="5" customFormat="1" ht="12.75" x14ac:dyDescent="0.2">
      <c r="A7" s="1"/>
      <c r="B7" s="1"/>
      <c r="C7" s="1"/>
      <c r="D7" s="1"/>
      <c r="E7" s="1"/>
      <c r="F7" s="1"/>
      <c r="G7" s="1"/>
      <c r="H7" s="1"/>
      <c r="I7" s="1"/>
      <c r="J7" s="1"/>
      <c r="K7" s="1"/>
      <c r="M7" s="42"/>
      <c r="N7" s="42"/>
      <c r="O7" s="42"/>
      <c r="P7" s="42"/>
      <c r="Q7" s="45"/>
      <c r="R7" s="46"/>
      <c r="S7" s="47"/>
      <c r="T7" s="44"/>
      <c r="W7" s="15" t="s">
        <v>45</v>
      </c>
      <c r="X7" s="16">
        <f>SUM(S:S)</f>
        <v>0</v>
      </c>
    </row>
    <row r="8" spans="1:29" s="5" customFormat="1" ht="12.75" x14ac:dyDescent="0.2">
      <c r="A8" s="14"/>
      <c r="E8" s="15" t="s">
        <v>0</v>
      </c>
      <c r="F8" s="16" t="str">
        <f>$C$1</f>
        <v>R. Abbott</v>
      </c>
      <c r="H8" s="17"/>
      <c r="I8" s="15" t="s">
        <v>46</v>
      </c>
      <c r="J8" s="18" t="str">
        <f>$G$2</f>
        <v>AA-SM-515-001</v>
      </c>
      <c r="K8" s="19"/>
      <c r="L8" s="20"/>
      <c r="M8" s="42"/>
      <c r="N8" s="42"/>
      <c r="O8" s="42"/>
      <c r="P8" s="42"/>
      <c r="Q8" s="45"/>
      <c r="R8" s="46"/>
      <c r="S8" s="47"/>
      <c r="T8" s="44"/>
    </row>
    <row r="9" spans="1:29" s="5" customFormat="1" ht="12.75" x14ac:dyDescent="0.2">
      <c r="E9" s="15" t="s">
        <v>3</v>
      </c>
      <c r="F9" s="17" t="str">
        <f>$C$2</f>
        <v xml:space="preserve"> </v>
      </c>
      <c r="H9" s="17"/>
      <c r="I9" s="15" t="s">
        <v>47</v>
      </c>
      <c r="J9" s="19" t="str">
        <f>$G$3</f>
        <v>IR</v>
      </c>
      <c r="K9" s="19"/>
      <c r="L9" s="20"/>
      <c r="M9" s="42">
        <v>1</v>
      </c>
      <c r="N9" s="42"/>
      <c r="O9" s="42"/>
      <c r="P9" s="42"/>
      <c r="Q9" s="45"/>
      <c r="R9" s="46"/>
      <c r="S9" s="47"/>
      <c r="T9" s="44"/>
    </row>
    <row r="10" spans="1:29" s="5" customFormat="1" ht="12.75" x14ac:dyDescent="0.2">
      <c r="E10" s="15" t="s">
        <v>6</v>
      </c>
      <c r="F10" s="17" t="str">
        <f>$C$3</f>
        <v>05/03/2017</v>
      </c>
      <c r="H10" s="17"/>
      <c r="I10" s="15" t="s">
        <v>48</v>
      </c>
      <c r="J10" s="16" t="str">
        <f>L10&amp;" of "&amp;$G$1</f>
        <v>1 of 6</v>
      </c>
      <c r="K10" s="17"/>
      <c r="L10" s="20">
        <f>SUM($M$1:M9)</f>
        <v>1</v>
      </c>
      <c r="M10" s="42"/>
      <c r="N10" s="42"/>
      <c r="O10" s="42"/>
      <c r="P10" s="42"/>
      <c r="Q10" s="45"/>
      <c r="R10" s="46"/>
      <c r="S10" s="47"/>
      <c r="T10" s="44"/>
    </row>
    <row r="11" spans="1:29" s="5" customFormat="1" ht="12.75" x14ac:dyDescent="0.2">
      <c r="E11" s="15" t="s">
        <v>49</v>
      </c>
      <c r="F11" s="17" t="str">
        <f>$C$5</f>
        <v>STANDARD SPREADSHEET METHOD</v>
      </c>
      <c r="I11" s="21"/>
      <c r="J11" s="16"/>
      <c r="M11" s="42"/>
      <c r="N11" s="42"/>
      <c r="O11" s="42"/>
      <c r="P11" s="42"/>
      <c r="Q11" s="42"/>
      <c r="R11" s="42"/>
      <c r="S11" s="43"/>
      <c r="T11" s="44"/>
    </row>
    <row r="12" spans="1:29" s="5" customFormat="1" x14ac:dyDescent="0.25">
      <c r="A12" s="48"/>
      <c r="B12" s="23" t="str">
        <f>$G$4</f>
        <v>SIMPLIFIED PART 23 AIRCRAFT LOADS - AIRCRAFT LOADS</v>
      </c>
      <c r="C12" s="49"/>
      <c r="D12" s="49"/>
      <c r="E12" s="50"/>
      <c r="F12" s="49"/>
      <c r="G12" s="49"/>
      <c r="H12" s="49"/>
      <c r="I12" s="49"/>
      <c r="J12" s="49"/>
      <c r="K12" s="49"/>
      <c r="L12" s="7"/>
      <c r="M12" s="44"/>
      <c r="N12" s="42"/>
      <c r="O12" s="42"/>
      <c r="P12" s="42"/>
      <c r="Q12" s="42"/>
      <c r="R12" s="44"/>
      <c r="S12" s="44"/>
      <c r="T12" s="51"/>
    </row>
    <row r="13" spans="1:29" s="5" customFormat="1" ht="12.75" x14ac:dyDescent="0.2">
      <c r="A13" s="52"/>
      <c r="B13" s="52" t="s">
        <v>50</v>
      </c>
      <c r="C13" s="52"/>
      <c r="D13" s="52"/>
      <c r="E13" s="52"/>
      <c r="F13" s="52"/>
      <c r="G13" s="52"/>
      <c r="H13" s="52"/>
      <c r="I13" s="52"/>
      <c r="J13" s="52"/>
      <c r="K13" s="52"/>
      <c r="L13" s="20"/>
      <c r="M13" s="42"/>
      <c r="N13" s="42"/>
      <c r="O13" s="42"/>
      <c r="P13" s="42"/>
      <c r="Q13" s="42"/>
      <c r="R13" s="42"/>
      <c r="S13" s="42"/>
      <c r="T13" s="42"/>
    </row>
    <row r="14" spans="1:29" s="5" customFormat="1" ht="12.75" x14ac:dyDescent="0.2">
      <c r="A14" s="52"/>
      <c r="B14" s="53" t="s">
        <v>51</v>
      </c>
      <c r="C14" s="52"/>
      <c r="D14" s="54"/>
      <c r="E14" s="52"/>
      <c r="F14" s="52"/>
      <c r="G14" s="52"/>
      <c r="H14" s="52"/>
      <c r="I14" s="52"/>
      <c r="J14" s="52"/>
      <c r="K14" s="52"/>
      <c r="M14" s="42"/>
      <c r="N14" s="42"/>
      <c r="O14" s="42"/>
      <c r="P14" s="42"/>
      <c r="Q14" s="42"/>
      <c r="R14" s="42"/>
      <c r="S14" s="42"/>
      <c r="T14" s="42"/>
    </row>
    <row r="15" spans="1:29" s="5" customFormat="1" ht="12.75" x14ac:dyDescent="0.2">
      <c r="A15" s="52"/>
      <c r="C15" s="52"/>
      <c r="D15" s="54"/>
      <c r="E15" s="52"/>
      <c r="F15" s="52"/>
      <c r="G15" s="52"/>
      <c r="H15" s="52"/>
      <c r="I15" s="52"/>
      <c r="J15" s="52"/>
      <c r="K15" s="52"/>
      <c r="M15" s="42"/>
      <c r="N15" s="42"/>
      <c r="O15" s="42"/>
      <c r="P15" s="42"/>
      <c r="Q15" s="42"/>
      <c r="R15" s="42"/>
      <c r="S15" s="42"/>
      <c r="T15" s="42"/>
      <c r="V15" s="55"/>
      <c r="W15" s="55"/>
      <c r="AC15" s="15"/>
    </row>
    <row r="16" spans="1:29" s="5" customFormat="1" ht="13.5" customHeight="1" x14ac:dyDescent="0.2">
      <c r="A16" s="52"/>
      <c r="B16" s="52"/>
      <c r="C16" s="52"/>
      <c r="D16" s="54"/>
      <c r="E16" s="52"/>
      <c r="F16" s="52"/>
      <c r="G16" s="52"/>
      <c r="H16" s="52"/>
      <c r="I16" s="52"/>
      <c r="J16" s="52"/>
      <c r="K16" s="52"/>
      <c r="L16" s="7"/>
      <c r="M16" s="42"/>
      <c r="N16" s="42"/>
      <c r="O16" s="42"/>
      <c r="P16" s="42"/>
      <c r="Q16" s="42"/>
      <c r="R16" s="42"/>
      <c r="S16" s="42"/>
      <c r="T16" s="42"/>
      <c r="U16" s="7"/>
      <c r="V16" s="55"/>
      <c r="W16" s="55"/>
      <c r="X16" s="7"/>
      <c r="Z16" s="20"/>
      <c r="AA16" s="56"/>
      <c r="AB16" s="56"/>
    </row>
    <row r="17" spans="1:35" s="5" customFormat="1" ht="12.75" x14ac:dyDescent="0.2">
      <c r="A17" s="52"/>
      <c r="B17" s="54" t="s">
        <v>52</v>
      </c>
      <c r="C17" s="57">
        <v>2500</v>
      </c>
      <c r="D17" s="58" t="s">
        <v>53</v>
      </c>
      <c r="E17" s="52"/>
      <c r="F17" s="52"/>
      <c r="G17" s="52"/>
      <c r="K17" s="52"/>
      <c r="L17" s="7"/>
      <c r="M17" s="42"/>
      <c r="N17" s="42"/>
      <c r="O17" s="42"/>
      <c r="P17" s="42"/>
      <c r="Q17" s="42"/>
      <c r="R17" s="42"/>
      <c r="S17" s="42"/>
      <c r="T17" s="42"/>
      <c r="U17" s="7"/>
      <c r="V17" s="55"/>
      <c r="W17" s="55"/>
      <c r="X17" s="7"/>
      <c r="Z17" s="56"/>
      <c r="AA17" s="59" t="s">
        <v>54</v>
      </c>
      <c r="AB17" s="59" t="s">
        <v>55</v>
      </c>
      <c r="AC17" s="59" t="s">
        <v>56</v>
      </c>
    </row>
    <row r="18" spans="1:35" s="5" customFormat="1" ht="12.75" x14ac:dyDescent="0.2">
      <c r="A18" s="52"/>
      <c r="B18" s="54" t="s">
        <v>57</v>
      </c>
      <c r="C18" s="60">
        <v>197</v>
      </c>
      <c r="D18" s="58" t="s">
        <v>58</v>
      </c>
      <c r="E18" s="52"/>
      <c r="F18" s="52"/>
      <c r="G18" s="52"/>
      <c r="K18" s="52"/>
      <c r="L18" s="7"/>
      <c r="M18" s="42"/>
      <c r="N18" s="42"/>
      <c r="O18" s="42"/>
      <c r="P18" s="42"/>
      <c r="Q18" s="42"/>
      <c r="R18" s="42"/>
      <c r="S18" s="42"/>
      <c r="T18" s="42"/>
      <c r="U18" s="7"/>
      <c r="V18" s="55"/>
      <c r="W18" s="55"/>
      <c r="X18" s="7"/>
      <c r="Z18" s="56">
        <v>1</v>
      </c>
      <c r="AA18" s="20">
        <v>3.8</v>
      </c>
      <c r="AB18" s="61">
        <v>4.4000000000000004</v>
      </c>
      <c r="AC18" s="62">
        <v>6</v>
      </c>
      <c r="AE18" s="63"/>
      <c r="AF18" s="62"/>
      <c r="AG18" s="62"/>
      <c r="AH18" s="62"/>
    </row>
    <row r="19" spans="1:35" s="5" customFormat="1" ht="12.75" x14ac:dyDescent="0.2">
      <c r="A19" s="52"/>
      <c r="B19" s="64" t="s">
        <v>59</v>
      </c>
      <c r="C19" s="65">
        <f>C17/C18</f>
        <v>12.690355329949238</v>
      </c>
      <c r="D19" s="58" t="s">
        <v>60</v>
      </c>
      <c r="E19" s="52"/>
      <c r="F19" s="52"/>
      <c r="G19" s="52"/>
      <c r="K19" s="52"/>
      <c r="L19" s="7"/>
      <c r="M19" s="42"/>
      <c r="N19" s="42"/>
      <c r="O19" s="42"/>
      <c r="P19" s="42"/>
      <c r="Q19" s="42"/>
      <c r="R19" s="42"/>
      <c r="S19" s="42"/>
      <c r="T19" s="42"/>
      <c r="U19" s="7"/>
      <c r="V19" s="55"/>
      <c r="W19" s="55"/>
      <c r="X19" s="7"/>
      <c r="Y19" s="27"/>
      <c r="Z19" s="56">
        <v>2</v>
      </c>
      <c r="AA19" s="20">
        <f>-AA18/2</f>
        <v>-1.9</v>
      </c>
      <c r="AB19" s="20">
        <f>-AB18/2</f>
        <v>-2.2000000000000002</v>
      </c>
      <c r="AC19" s="20">
        <f>-AC18/2</f>
        <v>-3</v>
      </c>
      <c r="AD19" s="62"/>
      <c r="AE19" s="62"/>
      <c r="AF19" s="62"/>
      <c r="AG19" s="62"/>
      <c r="AH19" s="62"/>
      <c r="AI19" s="27"/>
    </row>
    <row r="20" spans="1:35" s="5" customFormat="1" ht="12.75" x14ac:dyDescent="0.2">
      <c r="A20" s="66"/>
      <c r="I20" s="52"/>
      <c r="J20" s="52"/>
      <c r="K20" s="52"/>
      <c r="L20" s="7"/>
      <c r="M20" s="42"/>
      <c r="N20" s="42"/>
      <c r="O20" s="42"/>
      <c r="P20" s="42"/>
      <c r="Q20" s="42"/>
      <c r="R20" s="42"/>
      <c r="S20" s="42"/>
      <c r="T20" s="42"/>
      <c r="U20" s="7"/>
      <c r="V20" s="55"/>
      <c r="W20" s="55"/>
      <c r="X20" s="7"/>
      <c r="Y20" s="27"/>
      <c r="Z20" s="67"/>
      <c r="AA20" s="20"/>
      <c r="AB20" s="61"/>
      <c r="AC20" s="68"/>
      <c r="AD20" s="68"/>
      <c r="AE20" s="68"/>
      <c r="AF20" s="68"/>
      <c r="AG20" s="68"/>
      <c r="AH20" s="68"/>
      <c r="AI20" s="27"/>
    </row>
    <row r="21" spans="1:35" s="5" customFormat="1" ht="12.75" x14ac:dyDescent="0.2">
      <c r="B21" s="54" t="s">
        <v>52</v>
      </c>
      <c r="C21" s="57">
        <v>1700</v>
      </c>
      <c r="D21" s="58" t="s">
        <v>61</v>
      </c>
      <c r="L21" s="7"/>
      <c r="M21" s="42"/>
      <c r="N21" s="42"/>
      <c r="O21" s="42"/>
      <c r="P21" s="42"/>
      <c r="Q21" s="42"/>
      <c r="R21" s="42"/>
      <c r="S21" s="42"/>
      <c r="T21" s="42"/>
      <c r="U21" s="7"/>
      <c r="V21" s="55"/>
      <c r="W21" s="55"/>
      <c r="X21" s="7"/>
      <c r="Z21" s="56"/>
      <c r="AA21" s="20"/>
      <c r="AB21" s="61"/>
    </row>
    <row r="22" spans="1:35" s="5" customFormat="1" ht="12.75" x14ac:dyDescent="0.2">
      <c r="B22" s="54" t="s">
        <v>57</v>
      </c>
      <c r="C22" s="69">
        <f>C18</f>
        <v>197</v>
      </c>
      <c r="D22" s="58" t="s">
        <v>58</v>
      </c>
      <c r="L22" s="7"/>
      <c r="M22" s="42"/>
      <c r="N22" s="42"/>
      <c r="O22" s="42"/>
      <c r="P22" s="42"/>
      <c r="Q22" s="42"/>
      <c r="R22" s="42"/>
      <c r="S22" s="42"/>
      <c r="T22" s="42"/>
      <c r="U22" s="7"/>
      <c r="V22" s="55"/>
      <c r="W22" s="55"/>
      <c r="X22" s="7"/>
      <c r="Y22" s="27"/>
      <c r="AA22" s="68"/>
      <c r="AH22" s="68"/>
    </row>
    <row r="23" spans="1:35" s="5" customFormat="1" ht="12.75" x14ac:dyDescent="0.2">
      <c r="B23" s="64" t="s">
        <v>59</v>
      </c>
      <c r="C23" s="65">
        <f>C21/C22</f>
        <v>8.6294416243654819</v>
      </c>
      <c r="D23" s="58" t="s">
        <v>62</v>
      </c>
      <c r="L23" s="7"/>
      <c r="M23" s="42"/>
      <c r="N23" s="42"/>
      <c r="O23" s="42"/>
      <c r="P23" s="42"/>
      <c r="Q23" s="42"/>
      <c r="R23" s="42"/>
      <c r="S23" s="42"/>
      <c r="T23" s="42"/>
      <c r="U23" s="7"/>
      <c r="V23" s="55"/>
      <c r="W23" s="55"/>
      <c r="X23" s="7"/>
      <c r="AA23" s="20"/>
      <c r="AB23" s="20"/>
      <c r="AC23" s="20"/>
      <c r="AD23" s="20"/>
      <c r="AE23" s="20"/>
      <c r="AF23" s="20"/>
      <c r="AG23" s="20"/>
      <c r="AH23" s="68"/>
    </row>
    <row r="24" spans="1:35" s="5" customFormat="1" ht="12.75" x14ac:dyDescent="0.2">
      <c r="L24" s="7"/>
      <c r="M24" s="42"/>
      <c r="N24" s="42"/>
      <c r="O24" s="42"/>
      <c r="P24" s="42"/>
      <c r="Q24" s="42"/>
      <c r="R24" s="42"/>
      <c r="S24" s="42"/>
      <c r="T24" s="42"/>
      <c r="U24" s="7"/>
      <c r="V24" s="55"/>
      <c r="W24" s="55"/>
      <c r="X24" s="7"/>
      <c r="AA24" s="70"/>
      <c r="AB24" s="20"/>
      <c r="AC24" s="20"/>
      <c r="AD24" s="20"/>
      <c r="AE24" s="20"/>
      <c r="AF24" s="20"/>
      <c r="AG24" s="20"/>
      <c r="AH24" s="68"/>
    </row>
    <row r="25" spans="1:35" s="5" customFormat="1" ht="12.75" x14ac:dyDescent="0.2">
      <c r="L25" s="7"/>
      <c r="M25" s="42"/>
      <c r="N25" s="42"/>
      <c r="O25" s="42"/>
      <c r="P25" s="42"/>
      <c r="Q25" s="42"/>
      <c r="R25" s="42"/>
      <c r="S25" s="42"/>
      <c r="T25" s="42"/>
      <c r="U25" s="7"/>
      <c r="V25" s="55"/>
      <c r="W25" s="55"/>
      <c r="X25" s="7"/>
      <c r="AA25" s="70"/>
      <c r="AB25" s="20"/>
      <c r="AC25" s="20"/>
      <c r="AD25" s="20"/>
      <c r="AE25" s="20"/>
      <c r="AF25" s="20"/>
      <c r="AG25" s="20"/>
    </row>
    <row r="26" spans="1:35" s="5" customFormat="1" ht="12.75" x14ac:dyDescent="0.2">
      <c r="A26" s="66"/>
      <c r="B26" s="54" t="s">
        <v>63</v>
      </c>
      <c r="C26" s="52" t="s">
        <v>64</v>
      </c>
      <c r="D26" s="52"/>
      <c r="E26" s="52"/>
      <c r="F26" s="52"/>
      <c r="G26" s="52"/>
      <c r="H26" s="71"/>
      <c r="I26" s="52"/>
      <c r="J26" s="52"/>
      <c r="K26" s="52"/>
      <c r="L26" s="7"/>
      <c r="M26" s="42"/>
      <c r="N26" s="42"/>
      <c r="O26" s="42"/>
      <c r="P26" s="42"/>
      <c r="Q26" s="42"/>
      <c r="R26" s="42"/>
      <c r="S26" s="42"/>
      <c r="T26" s="42"/>
      <c r="U26" s="7"/>
      <c r="V26" s="55"/>
      <c r="W26" s="55"/>
      <c r="X26" s="7"/>
      <c r="AA26" s="20"/>
      <c r="AB26" s="20"/>
      <c r="AC26" s="20"/>
      <c r="AD26" s="20"/>
      <c r="AE26" s="20"/>
      <c r="AF26" s="20"/>
      <c r="AG26" s="20"/>
    </row>
    <row r="27" spans="1:35" s="5" customFormat="1" ht="12.75" x14ac:dyDescent="0.2">
      <c r="A27" s="66"/>
      <c r="B27" s="54" t="s">
        <v>65</v>
      </c>
      <c r="C27" s="72" t="s">
        <v>66</v>
      </c>
      <c r="D27" s="52"/>
      <c r="E27" s="52"/>
      <c r="F27" s="73"/>
      <c r="G27" s="52"/>
      <c r="H27" s="73"/>
      <c r="I27" s="52"/>
      <c r="J27" s="52"/>
      <c r="K27" s="52"/>
      <c r="L27" s="7"/>
      <c r="M27" s="42"/>
      <c r="N27" s="42"/>
      <c r="O27" s="42"/>
      <c r="P27" s="42"/>
      <c r="Q27" s="42"/>
      <c r="R27" s="42"/>
      <c r="S27" s="42"/>
      <c r="T27" s="42"/>
      <c r="U27" s="7"/>
      <c r="V27" s="55"/>
      <c r="W27" s="55"/>
      <c r="X27" s="7"/>
      <c r="AA27" s="20"/>
      <c r="AB27" s="20"/>
      <c r="AC27" s="20"/>
      <c r="AD27" s="20"/>
      <c r="AE27" s="20"/>
      <c r="AF27" s="20"/>
      <c r="AG27" s="20"/>
    </row>
    <row r="28" spans="1:35" s="5" customFormat="1" ht="14.25" x14ac:dyDescent="0.25">
      <c r="A28" s="52"/>
      <c r="B28" s="54" t="s">
        <v>67</v>
      </c>
      <c r="C28" s="52" t="s">
        <v>68</v>
      </c>
      <c r="D28" s="52"/>
      <c r="E28" s="52"/>
      <c r="F28" s="73"/>
      <c r="G28" s="52"/>
      <c r="H28" s="73"/>
      <c r="I28" s="52"/>
      <c r="J28" s="52"/>
      <c r="K28" s="52"/>
      <c r="L28" s="7"/>
      <c r="M28" s="42"/>
      <c r="N28" s="42"/>
      <c r="O28" s="42"/>
      <c r="P28" s="42"/>
      <c r="Q28" s="42"/>
      <c r="R28" s="42"/>
      <c r="S28" s="42"/>
      <c r="T28" s="42"/>
      <c r="U28" s="7"/>
      <c r="V28" s="55"/>
      <c r="W28" s="55"/>
      <c r="X28" s="7"/>
      <c r="Y28" s="27"/>
      <c r="AC28" s="68"/>
      <c r="AD28" s="68"/>
      <c r="AE28" s="68"/>
      <c r="AF28" s="68"/>
      <c r="AG28" s="68"/>
      <c r="AH28" s="68"/>
      <c r="AI28" s="27"/>
    </row>
    <row r="29" spans="1:35" s="5" customFormat="1" ht="14.25" x14ac:dyDescent="0.25">
      <c r="A29" s="66"/>
      <c r="B29" s="54" t="s">
        <v>69</v>
      </c>
      <c r="C29" s="71" t="s">
        <v>70</v>
      </c>
      <c r="D29" s="52"/>
      <c r="E29" s="52"/>
      <c r="F29" s="74"/>
      <c r="G29" s="52"/>
      <c r="H29" s="74"/>
      <c r="I29" s="52"/>
      <c r="J29" s="52"/>
      <c r="K29" s="52"/>
      <c r="L29" s="7"/>
      <c r="M29" s="42"/>
      <c r="N29" s="42"/>
      <c r="O29" s="42"/>
      <c r="P29" s="42"/>
      <c r="Q29" s="42"/>
      <c r="R29" s="42"/>
      <c r="S29" s="42"/>
      <c r="T29" s="42"/>
      <c r="U29" s="7"/>
      <c r="V29" s="55"/>
      <c r="W29" s="55"/>
      <c r="X29" s="7"/>
      <c r="Y29" s="20"/>
      <c r="Z29" s="20"/>
      <c r="AA29" s="20"/>
      <c r="AB29" s="20"/>
      <c r="AC29" s="20"/>
      <c r="AE29" s="75"/>
      <c r="AF29" s="75"/>
      <c r="AG29" s="75"/>
      <c r="AH29" s="75"/>
      <c r="AI29" s="76"/>
    </row>
    <row r="30" spans="1:35" s="5" customFormat="1" ht="14.25" x14ac:dyDescent="0.25">
      <c r="A30" s="66"/>
      <c r="B30" s="54" t="s">
        <v>71</v>
      </c>
      <c r="C30" s="66" t="s">
        <v>72</v>
      </c>
      <c r="D30" s="54"/>
      <c r="E30" s="52"/>
      <c r="F30" s="74"/>
      <c r="G30" s="52"/>
      <c r="H30" s="74"/>
      <c r="I30" s="52"/>
      <c r="J30" s="52"/>
      <c r="K30" s="52"/>
      <c r="L30" s="7"/>
      <c r="M30" s="42"/>
      <c r="N30" s="42"/>
      <c r="O30" s="42"/>
      <c r="P30" s="42"/>
      <c r="Q30" s="42"/>
      <c r="R30" s="42"/>
      <c r="S30" s="42"/>
      <c r="T30" s="42"/>
      <c r="U30" s="7"/>
      <c r="V30" s="55"/>
      <c r="W30" s="55"/>
      <c r="X30" s="7"/>
      <c r="Y30" s="20"/>
      <c r="Z30" s="20"/>
      <c r="AA30" s="20"/>
      <c r="AB30" s="20"/>
      <c r="AC30" s="20"/>
      <c r="AD30" s="20"/>
      <c r="AE30" s="75"/>
      <c r="AF30" s="75"/>
      <c r="AG30" s="75"/>
      <c r="AH30" s="75"/>
      <c r="AI30" s="76"/>
    </row>
    <row r="31" spans="1:35" s="5" customFormat="1" ht="12.75" x14ac:dyDescent="0.2">
      <c r="A31" s="66"/>
      <c r="E31" s="52"/>
      <c r="F31" s="74"/>
      <c r="G31" s="52"/>
      <c r="H31" s="74"/>
      <c r="I31" s="52"/>
      <c r="J31" s="52"/>
      <c r="K31" s="66"/>
      <c r="L31" s="7"/>
      <c r="M31" s="42"/>
      <c r="N31" s="42"/>
      <c r="O31" s="42"/>
      <c r="P31" s="42"/>
      <c r="Q31" s="42"/>
      <c r="R31" s="42"/>
      <c r="S31" s="42"/>
      <c r="T31" s="42"/>
      <c r="U31" s="7"/>
      <c r="V31" s="55"/>
      <c r="W31" s="55"/>
      <c r="X31" s="7"/>
      <c r="Y31" s="20"/>
      <c r="Z31" s="20"/>
      <c r="AA31" s="20"/>
      <c r="AB31" s="20"/>
      <c r="AC31" s="20"/>
      <c r="AD31" s="20"/>
      <c r="AE31" s="75"/>
      <c r="AF31" s="75"/>
      <c r="AG31" s="75"/>
      <c r="AH31" s="75"/>
      <c r="AI31" s="76"/>
    </row>
    <row r="32" spans="1:35" s="5" customFormat="1" ht="12.75" x14ac:dyDescent="0.2">
      <c r="A32" s="66"/>
      <c r="B32" s="5" t="s">
        <v>73</v>
      </c>
      <c r="E32" s="52"/>
      <c r="F32" s="74"/>
      <c r="G32" s="52"/>
      <c r="H32" s="74"/>
      <c r="I32" s="52"/>
      <c r="J32" s="52"/>
      <c r="K32" s="66"/>
      <c r="L32" s="7"/>
      <c r="M32" s="42"/>
      <c r="N32" s="42"/>
      <c r="O32" s="42"/>
      <c r="P32" s="42"/>
      <c r="Q32" s="42"/>
      <c r="R32" s="42"/>
      <c r="S32" s="42"/>
      <c r="T32" s="42"/>
      <c r="U32" s="7"/>
      <c r="V32" s="55"/>
      <c r="W32" s="55"/>
      <c r="X32" s="7"/>
      <c r="Y32" s="20"/>
      <c r="Z32" s="20"/>
      <c r="AA32" s="20"/>
      <c r="AB32" s="20"/>
      <c r="AC32" s="20"/>
      <c r="AE32" s="75"/>
      <c r="AF32" s="75"/>
      <c r="AG32" s="75"/>
      <c r="AH32" s="75"/>
      <c r="AI32" s="76"/>
    </row>
    <row r="33" spans="1:35" s="5" customFormat="1" ht="12.75" x14ac:dyDescent="0.2">
      <c r="A33" s="52"/>
      <c r="C33" s="59" t="s">
        <v>54</v>
      </c>
      <c r="E33" s="52"/>
      <c r="F33" s="52"/>
      <c r="G33" s="52"/>
      <c r="H33" s="52"/>
      <c r="I33" s="52"/>
      <c r="J33" s="52"/>
      <c r="K33" s="52"/>
      <c r="L33" s="7"/>
      <c r="M33" s="42"/>
      <c r="N33" s="42"/>
      <c r="O33" s="42"/>
      <c r="P33" s="42"/>
      <c r="Q33" s="42"/>
      <c r="R33" s="42"/>
      <c r="S33" s="42"/>
      <c r="T33" s="42"/>
      <c r="U33" s="7"/>
      <c r="V33" s="55"/>
      <c r="W33" s="55"/>
      <c r="X33" s="7"/>
      <c r="Y33" s="20"/>
      <c r="Z33" s="20"/>
      <c r="AA33" s="20"/>
      <c r="AB33" s="20"/>
      <c r="AC33" s="20"/>
      <c r="AE33" s="75"/>
      <c r="AF33" s="75"/>
      <c r="AG33" s="75"/>
      <c r="AH33" s="75"/>
      <c r="AI33" s="76"/>
    </row>
    <row r="34" spans="1:35" s="5" customFormat="1" ht="12.75" x14ac:dyDescent="0.2">
      <c r="A34" s="52"/>
      <c r="E34" s="52"/>
      <c r="F34" s="52"/>
      <c r="G34" s="52"/>
      <c r="H34" s="52"/>
      <c r="I34" s="52"/>
      <c r="J34" s="52"/>
      <c r="K34" s="52"/>
      <c r="L34" s="7"/>
      <c r="M34" s="42"/>
      <c r="N34" s="42"/>
      <c r="O34" s="42"/>
      <c r="P34" s="42"/>
      <c r="Q34" s="42"/>
      <c r="R34" s="42"/>
      <c r="S34" s="42"/>
      <c r="T34" s="42"/>
      <c r="U34" s="7"/>
      <c r="V34" s="55"/>
      <c r="W34" s="55"/>
      <c r="X34" s="7"/>
      <c r="AD34" s="55"/>
      <c r="AE34" s="61"/>
      <c r="AF34" s="77"/>
      <c r="AG34" s="78"/>
    </row>
    <row r="35" spans="1:35" s="5" customFormat="1" ht="12.75" x14ac:dyDescent="0.2">
      <c r="A35" s="54"/>
      <c r="B35" s="54" t="s">
        <v>63</v>
      </c>
      <c r="C35" s="79">
        <f>INDEX(AA18:AC18,MATCH(C33,AA17:AC17,0))</f>
        <v>3.8</v>
      </c>
      <c r="E35" s="52"/>
      <c r="F35" s="52"/>
      <c r="G35" s="52"/>
      <c r="H35" s="52"/>
      <c r="I35" s="52"/>
      <c r="J35" s="52"/>
      <c r="K35" s="52"/>
      <c r="L35" s="7"/>
      <c r="M35" s="42"/>
      <c r="N35" s="42"/>
      <c r="O35" s="42"/>
      <c r="P35" s="42"/>
      <c r="Q35" s="42"/>
      <c r="R35" s="42"/>
      <c r="S35" s="42"/>
      <c r="T35" s="42"/>
      <c r="U35" s="7"/>
      <c r="V35" s="55"/>
      <c r="W35" s="55"/>
      <c r="X35" s="7"/>
      <c r="Y35" s="20"/>
      <c r="Z35" s="20"/>
      <c r="AA35" s="20"/>
      <c r="AB35" s="20"/>
      <c r="AC35" s="20"/>
      <c r="AE35" s="80"/>
      <c r="AF35" s="80"/>
      <c r="AG35" s="80"/>
      <c r="AH35" s="80"/>
      <c r="AI35" s="80"/>
    </row>
    <row r="36" spans="1:35" s="5" customFormat="1" ht="12.75" x14ac:dyDescent="0.2">
      <c r="A36" s="54"/>
      <c r="B36" s="54" t="s">
        <v>65</v>
      </c>
      <c r="C36" s="81">
        <f>INDEX(AA19:AC19,MATCH(C33,AA17:AC17,0))</f>
        <v>-1.9</v>
      </c>
      <c r="D36" s="82"/>
      <c r="E36" s="52"/>
      <c r="F36" s="54"/>
      <c r="G36" s="72"/>
      <c r="H36" s="52"/>
      <c r="I36" s="52"/>
      <c r="J36" s="52"/>
      <c r="K36" s="52"/>
      <c r="L36" s="7"/>
      <c r="M36" s="42"/>
      <c r="N36" s="42"/>
      <c r="O36" s="42"/>
      <c r="P36" s="42"/>
      <c r="Q36" s="42"/>
      <c r="R36" s="42"/>
      <c r="S36" s="42"/>
      <c r="T36" s="42"/>
      <c r="U36" s="7"/>
      <c r="V36" s="55"/>
      <c r="W36" s="55"/>
      <c r="X36" s="7"/>
      <c r="Y36" s="20"/>
      <c r="Z36" s="20"/>
      <c r="AA36" s="20"/>
      <c r="AB36" s="20"/>
      <c r="AC36" s="20"/>
      <c r="AD36" s="20"/>
      <c r="AE36" s="80"/>
      <c r="AF36" s="80"/>
      <c r="AG36" s="80"/>
      <c r="AH36" s="80"/>
      <c r="AI36" s="80"/>
    </row>
    <row r="37" spans="1:35" s="5" customFormat="1" ht="12.75" x14ac:dyDescent="0.2">
      <c r="A37" s="54"/>
      <c r="B37" s="52"/>
      <c r="C37" s="52"/>
      <c r="D37" s="82"/>
      <c r="E37" s="52"/>
      <c r="F37" s="54"/>
      <c r="G37" s="52"/>
      <c r="H37" s="52"/>
      <c r="I37" s="52"/>
      <c r="J37" s="71"/>
      <c r="K37" s="71"/>
      <c r="L37" s="7"/>
      <c r="M37" s="42"/>
      <c r="N37" s="42"/>
      <c r="O37" s="42"/>
      <c r="P37" s="42"/>
      <c r="Q37" s="42"/>
      <c r="R37" s="42"/>
      <c r="S37" s="42"/>
      <c r="T37" s="42"/>
      <c r="U37" s="7"/>
      <c r="V37" s="55"/>
      <c r="W37" s="55"/>
      <c r="X37" s="7"/>
      <c r="Y37" s="20"/>
      <c r="Z37" s="20"/>
      <c r="AA37" s="20"/>
      <c r="AB37" s="20"/>
      <c r="AC37" s="20"/>
      <c r="AE37" s="80"/>
      <c r="AF37" s="80"/>
      <c r="AG37" s="80"/>
      <c r="AH37" s="80"/>
      <c r="AI37" s="80"/>
    </row>
    <row r="38" spans="1:35" s="5" customFormat="1" ht="12.75" x14ac:dyDescent="0.2">
      <c r="A38" s="54"/>
      <c r="B38" s="5" t="s">
        <v>74</v>
      </c>
      <c r="E38" s="52"/>
      <c r="F38" s="54"/>
      <c r="G38" s="71"/>
      <c r="H38" s="52"/>
      <c r="I38" s="52"/>
      <c r="J38" s="71"/>
      <c r="K38" s="71"/>
      <c r="L38" s="7"/>
      <c r="M38" s="42"/>
      <c r="N38" s="42"/>
      <c r="O38" s="42"/>
      <c r="P38" s="42"/>
      <c r="Q38" s="42"/>
      <c r="R38" s="42"/>
      <c r="S38" s="42"/>
      <c r="T38" s="42"/>
      <c r="U38" s="7"/>
      <c r="V38" s="55"/>
      <c r="W38" s="55"/>
      <c r="X38" s="7"/>
      <c r="Y38" s="20"/>
      <c r="Z38" s="20"/>
      <c r="AA38" s="20"/>
      <c r="AB38" s="20"/>
      <c r="AC38" s="20"/>
      <c r="AE38" s="80"/>
      <c r="AF38" s="80"/>
      <c r="AG38" s="80"/>
      <c r="AH38" s="80"/>
      <c r="AI38" s="80"/>
    </row>
    <row r="39" spans="1:35" s="5" customFormat="1" ht="12.75" x14ac:dyDescent="0.2">
      <c r="A39" s="52"/>
      <c r="E39" s="54"/>
      <c r="F39" s="52"/>
      <c r="G39" s="52"/>
      <c r="I39" s="52"/>
      <c r="J39" s="52"/>
      <c r="K39" s="52"/>
      <c r="L39" s="7"/>
      <c r="M39" s="42"/>
      <c r="N39" s="42"/>
      <c r="O39" s="42"/>
      <c r="P39" s="42"/>
      <c r="Q39" s="42"/>
      <c r="R39" s="42"/>
      <c r="S39" s="42"/>
      <c r="T39" s="42"/>
      <c r="U39" s="7"/>
      <c r="V39" s="55"/>
      <c r="W39" s="55"/>
      <c r="X39" s="7"/>
      <c r="Y39" s="20"/>
      <c r="Z39" s="20"/>
      <c r="AA39" s="20"/>
      <c r="AB39" s="20"/>
      <c r="AC39" s="20"/>
      <c r="AE39" s="80"/>
      <c r="AF39" s="80"/>
      <c r="AG39" s="80"/>
      <c r="AH39" s="80"/>
      <c r="AI39" s="80"/>
    </row>
    <row r="40" spans="1:35" s="5" customFormat="1" ht="14.25" x14ac:dyDescent="0.25">
      <c r="A40" s="52"/>
      <c r="B40" s="54" t="s">
        <v>75</v>
      </c>
      <c r="C40" s="5" t="str">
        <f>[2]!xln(C41)</f>
        <v>11 × √[3.8 × 12.7]</v>
      </c>
      <c r="D40" s="52"/>
      <c r="E40" s="54" t="s">
        <v>76</v>
      </c>
      <c r="F40" s="83">
        <v>90</v>
      </c>
      <c r="G40" s="84" t="s">
        <v>77</v>
      </c>
      <c r="I40" s="52"/>
      <c r="J40" s="52"/>
      <c r="K40" s="52"/>
      <c r="L40" s="7"/>
      <c r="M40" s="42"/>
      <c r="N40" s="42"/>
      <c r="O40" s="42"/>
      <c r="P40" s="42"/>
      <c r="Q40" s="42"/>
      <c r="R40" s="42"/>
      <c r="S40" s="42"/>
      <c r="T40" s="42"/>
      <c r="U40" s="7"/>
      <c r="V40" s="55"/>
      <c r="W40" s="55"/>
      <c r="X40" s="7"/>
    </row>
    <row r="41" spans="1:35" s="5" customFormat="1" ht="12.75" x14ac:dyDescent="0.2">
      <c r="A41" s="52"/>
      <c r="B41" s="54" t="s">
        <v>78</v>
      </c>
      <c r="C41" s="85">
        <f>11*SQRT(C35*C19)</f>
        <v>76.38733782971272</v>
      </c>
      <c r="D41" s="84" t="s">
        <v>77</v>
      </c>
      <c r="E41" s="54"/>
      <c r="F41" s="65"/>
      <c r="G41" s="52"/>
      <c r="I41" s="52"/>
      <c r="J41" s="52"/>
      <c r="K41" s="52"/>
      <c r="L41" s="7"/>
      <c r="M41" s="42"/>
      <c r="N41" s="42"/>
      <c r="O41" s="42"/>
      <c r="P41" s="42"/>
      <c r="Q41" s="42"/>
      <c r="R41" s="42"/>
      <c r="S41" s="42"/>
      <c r="T41" s="42"/>
      <c r="U41" s="7"/>
      <c r="V41" s="55"/>
      <c r="W41" s="55"/>
      <c r="X41" s="7"/>
      <c r="Y41" s="20"/>
      <c r="AA41" s="55"/>
      <c r="AI41" s="68"/>
    </row>
    <row r="42" spans="1:35" s="5" customFormat="1" ht="12.75" x14ac:dyDescent="0.2">
      <c r="A42" s="52"/>
      <c r="F42" s="65"/>
      <c r="G42" s="52"/>
      <c r="I42" s="52"/>
      <c r="J42" s="52"/>
      <c r="K42" s="52"/>
      <c r="L42" s="7"/>
      <c r="M42" s="42"/>
      <c r="N42" s="42"/>
      <c r="O42" s="42"/>
      <c r="P42" s="42"/>
      <c r="Q42" s="42"/>
      <c r="R42" s="42"/>
      <c r="S42" s="42"/>
      <c r="T42" s="42"/>
      <c r="U42" s="7"/>
      <c r="V42" s="55"/>
      <c r="W42" s="55"/>
      <c r="X42" s="7"/>
      <c r="Y42" s="20"/>
      <c r="AA42" s="55"/>
      <c r="AI42" s="68"/>
    </row>
    <row r="43" spans="1:35" s="5" customFormat="1" ht="14.25" x14ac:dyDescent="0.25">
      <c r="A43" s="54"/>
      <c r="B43" s="54" t="s">
        <v>79</v>
      </c>
      <c r="C43" s="5" t="str">
        <f>[2]!xln(C44)</f>
        <v>15 × √[3.8 × 12.7]</v>
      </c>
      <c r="D43" s="52"/>
      <c r="E43" s="54" t="s">
        <v>80</v>
      </c>
      <c r="F43" s="83">
        <v>120</v>
      </c>
      <c r="G43" s="84" t="s">
        <v>77</v>
      </c>
      <c r="I43" s="52"/>
      <c r="J43" s="71"/>
      <c r="K43" s="52"/>
      <c r="L43" s="7"/>
      <c r="M43" s="42"/>
      <c r="N43" s="42"/>
      <c r="O43" s="42"/>
      <c r="P43" s="42"/>
      <c r="Q43" s="42"/>
      <c r="R43" s="42"/>
      <c r="S43" s="42"/>
      <c r="T43" s="42"/>
      <c r="U43" s="7"/>
      <c r="V43" s="55"/>
      <c r="W43" s="55"/>
      <c r="X43" s="7"/>
      <c r="Y43" s="20"/>
      <c r="Z43" s="20"/>
      <c r="AA43" s="55"/>
      <c r="AI43" s="68"/>
    </row>
    <row r="44" spans="1:35" s="5" customFormat="1" ht="12.75" x14ac:dyDescent="0.2">
      <c r="A44" s="52"/>
      <c r="B44" s="54" t="s">
        <v>78</v>
      </c>
      <c r="C44" s="85">
        <f>15*SQRT(C35*C19)</f>
        <v>104.16455158597188</v>
      </c>
      <c r="D44" s="84" t="s">
        <v>77</v>
      </c>
      <c r="E44" s="86"/>
      <c r="F44" s="65"/>
      <c r="G44" s="52"/>
      <c r="I44" s="52"/>
      <c r="J44" s="52"/>
      <c r="K44" s="52"/>
      <c r="L44" s="7"/>
      <c r="M44" s="42"/>
      <c r="N44" s="42"/>
      <c r="O44" s="42"/>
      <c r="P44" s="42"/>
      <c r="Q44" s="42"/>
      <c r="R44" s="42"/>
      <c r="S44" s="42"/>
      <c r="T44" s="42"/>
      <c r="U44" s="7"/>
      <c r="V44" s="55"/>
      <c r="W44" s="55"/>
      <c r="X44" s="7"/>
      <c r="Y44" s="20"/>
      <c r="AA44" s="55"/>
      <c r="AI44" s="68"/>
    </row>
    <row r="45" spans="1:35" s="5" customFormat="1" ht="12.75" x14ac:dyDescent="0.2">
      <c r="A45" s="52"/>
      <c r="F45" s="65"/>
      <c r="G45" s="52"/>
      <c r="I45" s="52"/>
      <c r="J45" s="87"/>
      <c r="K45" s="52"/>
      <c r="L45" s="7"/>
      <c r="M45" s="42"/>
      <c r="N45" s="42"/>
      <c r="O45" s="42"/>
      <c r="P45" s="42"/>
      <c r="Q45" s="42"/>
      <c r="R45" s="42"/>
      <c r="S45" s="42"/>
      <c r="T45" s="42"/>
      <c r="U45" s="7"/>
      <c r="V45" s="55"/>
      <c r="W45" s="55"/>
      <c r="X45" s="7"/>
      <c r="Y45" s="20"/>
      <c r="AA45" s="55"/>
    </row>
    <row r="46" spans="1:35" s="5" customFormat="1" ht="14.25" x14ac:dyDescent="0.25">
      <c r="A46" s="54"/>
      <c r="B46" s="54" t="s">
        <v>81</v>
      </c>
      <c r="C46" s="5" t="str">
        <f>[2]!xln(C47)</f>
        <v>17 × √[3.8 × 12.7]</v>
      </c>
      <c r="D46" s="52"/>
      <c r="E46" s="54" t="s">
        <v>82</v>
      </c>
      <c r="F46" s="83">
        <v>160</v>
      </c>
      <c r="G46" s="84" t="s">
        <v>77</v>
      </c>
      <c r="I46" s="54" t="s">
        <v>83</v>
      </c>
      <c r="J46" s="88">
        <f>F46/C47</f>
        <v>1.3553216371475063</v>
      </c>
      <c r="K46" s="52"/>
      <c r="L46" s="7"/>
      <c r="M46" s="42"/>
      <c r="N46" s="42"/>
      <c r="O46" s="42"/>
      <c r="P46" s="42"/>
      <c r="Q46" s="42"/>
      <c r="R46" s="42"/>
      <c r="S46" s="42"/>
      <c r="T46" s="42"/>
      <c r="U46" s="7"/>
      <c r="V46" s="55"/>
      <c r="W46" s="55"/>
      <c r="X46" s="7"/>
      <c r="AH46" s="68"/>
    </row>
    <row r="47" spans="1:35" s="5" customFormat="1" ht="12.75" x14ac:dyDescent="0.2">
      <c r="A47" s="52"/>
      <c r="B47" s="54" t="s">
        <v>78</v>
      </c>
      <c r="C47" s="85">
        <f>17*SQRT(C35*C19)</f>
        <v>118.05315846410147</v>
      </c>
      <c r="D47" s="84" t="s">
        <v>77</v>
      </c>
      <c r="E47" s="54"/>
      <c r="F47" s="65"/>
      <c r="G47" s="52"/>
      <c r="I47" s="52"/>
      <c r="J47" s="52"/>
      <c r="K47" s="52"/>
      <c r="L47" s="7"/>
      <c r="M47" s="42"/>
      <c r="N47" s="42"/>
      <c r="O47" s="42"/>
      <c r="P47" s="42"/>
      <c r="Q47" s="42"/>
      <c r="R47" s="42"/>
      <c r="S47" s="42"/>
      <c r="T47" s="42"/>
      <c r="U47" s="7"/>
      <c r="V47" s="55"/>
      <c r="W47" s="55"/>
      <c r="X47" s="7"/>
      <c r="Y47" s="20"/>
      <c r="AA47" s="89"/>
    </row>
    <row r="48" spans="1:35" s="5" customFormat="1" ht="12.75" x14ac:dyDescent="0.2">
      <c r="A48" s="52"/>
      <c r="F48" s="65"/>
      <c r="G48" s="52"/>
      <c r="I48" s="52"/>
      <c r="J48" s="52"/>
      <c r="K48" s="52"/>
      <c r="L48" s="7"/>
      <c r="M48" s="42"/>
      <c r="N48" s="42"/>
      <c r="O48" s="42"/>
      <c r="P48" s="42"/>
      <c r="Q48" s="42"/>
      <c r="R48" s="42"/>
      <c r="S48" s="42"/>
      <c r="T48" s="42"/>
      <c r="U48" s="7"/>
      <c r="V48" s="55"/>
      <c r="W48" s="55"/>
      <c r="X48" s="7"/>
      <c r="Y48" s="70"/>
      <c r="AA48" s="80"/>
    </row>
    <row r="49" spans="1:28" s="5" customFormat="1" ht="14.25" x14ac:dyDescent="0.25">
      <c r="A49" s="54"/>
      <c r="B49" s="90" t="s">
        <v>84</v>
      </c>
      <c r="C49" s="5" t="str">
        <f>[2]!xln(C50)</f>
        <v>24 × √[3.8 × 12.7]</v>
      </c>
      <c r="D49" s="82"/>
      <c r="E49" s="90" t="s">
        <v>85</v>
      </c>
      <c r="F49" s="83">
        <v>190</v>
      </c>
      <c r="G49" s="84" t="s">
        <v>77</v>
      </c>
      <c r="I49" s="52"/>
      <c r="J49" s="52"/>
      <c r="K49" s="52"/>
      <c r="L49" s="7"/>
      <c r="M49" s="42"/>
      <c r="N49" s="42"/>
      <c r="O49" s="42"/>
      <c r="P49" s="42"/>
      <c r="Q49" s="42"/>
      <c r="R49" s="42"/>
      <c r="S49" s="42"/>
      <c r="T49" s="42"/>
      <c r="U49" s="7"/>
      <c r="V49" s="55"/>
      <c r="W49" s="55"/>
      <c r="X49" s="7"/>
      <c r="Y49" s="70"/>
      <c r="Z49" s="20"/>
      <c r="AA49" s="80"/>
    </row>
    <row r="50" spans="1:28" s="5" customFormat="1" ht="12.75" x14ac:dyDescent="0.2">
      <c r="A50" s="52"/>
      <c r="B50" s="54" t="s">
        <v>78</v>
      </c>
      <c r="C50" s="85">
        <f>24*SQRT(C35*C19)</f>
        <v>166.66328253755501</v>
      </c>
      <c r="D50" s="84" t="s">
        <v>77</v>
      </c>
      <c r="E50" s="54"/>
      <c r="F50" s="85"/>
      <c r="G50" s="52"/>
      <c r="I50" s="91"/>
      <c r="J50" s="52"/>
      <c r="K50" s="52"/>
      <c r="L50" s="7"/>
      <c r="M50" s="42"/>
      <c r="N50" s="42"/>
      <c r="O50" s="42"/>
      <c r="P50" s="42"/>
      <c r="Q50" s="42"/>
      <c r="R50" s="42"/>
      <c r="S50" s="42"/>
      <c r="T50" s="42"/>
      <c r="U50" s="7"/>
      <c r="V50" s="55"/>
      <c r="W50" s="55"/>
      <c r="X50" s="7"/>
      <c r="Y50" s="20"/>
      <c r="Z50" s="68"/>
      <c r="AA50" s="89"/>
      <c r="AB50" s="68"/>
    </row>
    <row r="51" spans="1:28" s="5" customFormat="1" ht="12.75" x14ac:dyDescent="0.2">
      <c r="A51" s="52"/>
      <c r="B51" s="92"/>
      <c r="C51" s="85"/>
      <c r="D51" s="52"/>
      <c r="E51" s="52"/>
      <c r="F51" s="52"/>
      <c r="G51" s="52"/>
      <c r="H51" s="52"/>
      <c r="I51" s="52"/>
      <c r="J51" s="52"/>
      <c r="K51" s="52"/>
      <c r="L51" s="7"/>
      <c r="M51" s="42"/>
      <c r="N51" s="42"/>
      <c r="O51" s="42"/>
      <c r="P51" s="42"/>
      <c r="Q51" s="42"/>
      <c r="R51" s="42"/>
      <c r="S51" s="42"/>
      <c r="T51" s="42"/>
      <c r="U51" s="7"/>
      <c r="V51" s="55"/>
      <c r="W51" s="55"/>
      <c r="X51" s="7"/>
      <c r="Y51" s="20"/>
      <c r="AA51" s="80"/>
    </row>
    <row r="52" spans="1:28" s="5" customFormat="1" ht="12.75" x14ac:dyDescent="0.2">
      <c r="C52" s="56"/>
      <c r="D52" s="56"/>
      <c r="E52" s="56"/>
      <c r="F52" s="56"/>
      <c r="H52" s="56"/>
      <c r="I52" s="56"/>
      <c r="L52" s="7"/>
      <c r="M52" s="42"/>
      <c r="N52" s="42"/>
      <c r="O52" s="42"/>
      <c r="P52" s="42"/>
      <c r="Q52" s="42"/>
      <c r="R52" s="42"/>
      <c r="S52" s="42"/>
      <c r="T52" s="42"/>
      <c r="U52" s="7"/>
      <c r="V52" s="55"/>
      <c r="W52" s="55"/>
      <c r="X52" s="7"/>
    </row>
    <row r="53" spans="1:28" s="5" customFormat="1" ht="12.75" x14ac:dyDescent="0.2">
      <c r="B53" s="56"/>
      <c r="C53" s="93"/>
      <c r="D53" s="61"/>
      <c r="E53" s="94"/>
      <c r="F53" s="55"/>
      <c r="H53" s="94"/>
      <c r="I53" s="55"/>
      <c r="J53" s="62"/>
      <c r="K53" s="62"/>
      <c r="L53" s="7"/>
      <c r="M53" s="42"/>
      <c r="N53" s="42"/>
      <c r="O53" s="42"/>
      <c r="P53" s="42"/>
      <c r="Q53" s="42"/>
      <c r="R53" s="42"/>
      <c r="S53" s="42"/>
      <c r="T53" s="42"/>
      <c r="U53" s="7"/>
      <c r="V53" s="55"/>
      <c r="W53" s="55"/>
      <c r="X53" s="7"/>
    </row>
    <row r="54" spans="1:28" s="5" customFormat="1" ht="12.75" x14ac:dyDescent="0.2">
      <c r="B54" s="56"/>
      <c r="C54" s="93"/>
      <c r="D54" s="61"/>
      <c r="E54" s="94"/>
      <c r="F54" s="55"/>
      <c r="H54" s="94"/>
      <c r="I54" s="55"/>
      <c r="J54" s="62"/>
      <c r="K54" s="62"/>
      <c r="L54" s="7"/>
      <c r="M54" s="42"/>
      <c r="N54" s="42"/>
      <c r="O54" s="42"/>
      <c r="P54" s="42"/>
      <c r="Q54" s="42"/>
      <c r="R54" s="42"/>
      <c r="S54" s="42"/>
      <c r="T54" s="42"/>
      <c r="U54" s="7"/>
      <c r="V54" s="55"/>
      <c r="W54" s="55"/>
      <c r="X54" s="7"/>
    </row>
    <row r="55" spans="1:28" s="5" customFormat="1" ht="12.75" x14ac:dyDescent="0.2">
      <c r="B55" s="56"/>
      <c r="C55" s="93"/>
      <c r="D55" s="61"/>
      <c r="E55" s="94"/>
      <c r="F55" s="55"/>
      <c r="H55" s="94"/>
      <c r="I55" s="55"/>
      <c r="J55" s="62"/>
      <c r="K55" s="62"/>
      <c r="L55" s="7"/>
      <c r="M55" s="42"/>
      <c r="N55" s="42"/>
      <c r="O55" s="42"/>
      <c r="P55" s="42"/>
      <c r="Q55" s="42"/>
      <c r="R55" s="42"/>
      <c r="S55" s="42"/>
      <c r="T55" s="42"/>
      <c r="U55" s="7"/>
      <c r="V55" s="95"/>
      <c r="W55" s="55"/>
      <c r="X55" s="7"/>
    </row>
    <row r="56" spans="1:28" s="5" customFormat="1" ht="12.75" x14ac:dyDescent="0.2">
      <c r="B56" s="56"/>
      <c r="C56" s="93"/>
      <c r="D56" s="61"/>
      <c r="E56" s="94"/>
      <c r="F56" s="55"/>
      <c r="H56" s="94"/>
      <c r="I56" s="55"/>
      <c r="J56" s="62"/>
      <c r="K56" s="62"/>
      <c r="L56" s="7"/>
      <c r="M56" s="42"/>
      <c r="N56" s="42"/>
      <c r="O56" s="42"/>
      <c r="P56" s="42"/>
      <c r="Q56" s="42"/>
      <c r="R56" s="42"/>
      <c r="S56" s="42"/>
      <c r="T56" s="42"/>
      <c r="U56" s="7"/>
      <c r="X56" s="7"/>
    </row>
    <row r="57" spans="1:28" s="5" customFormat="1" ht="12.75" x14ac:dyDescent="0.2">
      <c r="A57" s="96"/>
      <c r="B57" s="20"/>
      <c r="C57" s="97"/>
      <c r="D57" s="96"/>
      <c r="E57" s="96"/>
      <c r="F57" s="96"/>
      <c r="G57" s="97"/>
      <c r="H57" s="96"/>
      <c r="I57" s="96"/>
      <c r="J57" s="96"/>
      <c r="K57" s="96"/>
      <c r="L57" s="7"/>
      <c r="M57" s="42"/>
      <c r="N57" s="42"/>
      <c r="O57" s="42"/>
      <c r="P57" s="42"/>
      <c r="Q57" s="42"/>
      <c r="R57" s="42"/>
      <c r="S57" s="42"/>
      <c r="T57" s="42"/>
      <c r="U57" s="7"/>
      <c r="V57" s="7"/>
      <c r="W57" s="7"/>
      <c r="X57" s="7"/>
    </row>
    <row r="58" spans="1:28" s="5" customFormat="1" ht="12.75" x14ac:dyDescent="0.2">
      <c r="A58" s="96"/>
      <c r="B58" s="20"/>
      <c r="C58" s="97"/>
      <c r="D58" s="96"/>
      <c r="E58" s="96"/>
      <c r="F58" s="96"/>
      <c r="G58" s="97"/>
      <c r="H58" s="96"/>
      <c r="I58" s="96"/>
      <c r="J58" s="96"/>
      <c r="K58" s="96"/>
      <c r="L58" s="7"/>
      <c r="M58" s="42"/>
      <c r="N58" s="42"/>
      <c r="O58" s="42"/>
      <c r="P58" s="42"/>
      <c r="Q58" s="42"/>
      <c r="R58" s="42"/>
      <c r="S58" s="42"/>
      <c r="T58" s="42"/>
      <c r="U58" s="7"/>
      <c r="V58" s="7"/>
      <c r="W58" s="7"/>
      <c r="X58" s="7"/>
    </row>
    <row r="59" spans="1:28" s="5" customFormat="1" ht="12.75" x14ac:dyDescent="0.2">
      <c r="A59" s="96"/>
      <c r="B59" s="20"/>
      <c r="C59" s="97"/>
      <c r="D59" s="96"/>
      <c r="E59" s="96"/>
      <c r="F59" s="96"/>
      <c r="G59" s="97"/>
      <c r="H59" s="96"/>
      <c r="I59" s="96"/>
      <c r="J59" s="96"/>
      <c r="K59" s="96"/>
      <c r="L59" s="7"/>
      <c r="M59" s="42"/>
      <c r="N59" s="42"/>
      <c r="O59" s="42"/>
      <c r="P59" s="42"/>
      <c r="Q59" s="42"/>
      <c r="R59" s="42"/>
      <c r="S59" s="42"/>
      <c r="T59" s="42"/>
      <c r="U59" s="7"/>
      <c r="V59" s="7"/>
      <c r="W59" s="7"/>
      <c r="X59" s="7"/>
    </row>
    <row r="60" spans="1:28" s="5" customFormat="1" ht="12.75" x14ac:dyDescent="0.2">
      <c r="A60" s="96"/>
      <c r="B60" s="20"/>
      <c r="C60" s="97"/>
      <c r="D60" s="96"/>
      <c r="E60" s="96"/>
      <c r="F60" s="96"/>
      <c r="G60" s="97"/>
      <c r="H60" s="96"/>
      <c r="I60" s="96"/>
      <c r="J60" s="96"/>
      <c r="K60" s="96"/>
      <c r="L60" s="7"/>
      <c r="M60" s="42"/>
      <c r="N60" s="42"/>
      <c r="O60" s="42"/>
      <c r="P60" s="42"/>
      <c r="Q60" s="42"/>
      <c r="R60" s="42"/>
      <c r="S60" s="42"/>
      <c r="T60" s="42"/>
      <c r="U60" s="7"/>
      <c r="V60" s="7"/>
      <c r="W60" s="7"/>
      <c r="X60" s="7"/>
    </row>
    <row r="61" spans="1:28" s="5" customFormat="1" ht="12.75" x14ac:dyDescent="0.2">
      <c r="A61" s="96"/>
      <c r="B61" s="20"/>
      <c r="C61" s="97"/>
      <c r="D61" s="96"/>
      <c r="E61" s="96"/>
      <c r="F61" s="96"/>
      <c r="G61" s="97"/>
      <c r="H61" s="96"/>
      <c r="I61" s="96"/>
      <c r="J61" s="96"/>
      <c r="K61" s="96"/>
      <c r="L61" s="7"/>
      <c r="M61" s="42"/>
      <c r="N61" s="42"/>
      <c r="O61" s="42"/>
      <c r="P61" s="42"/>
      <c r="Q61" s="42"/>
      <c r="R61" s="42"/>
      <c r="S61" s="42"/>
      <c r="T61" s="42"/>
      <c r="U61" s="7"/>
      <c r="V61" s="7"/>
      <c r="W61" s="7"/>
      <c r="X61" s="7"/>
    </row>
    <row r="62" spans="1:28" s="5" customFormat="1" ht="12.75" x14ac:dyDescent="0.2">
      <c r="A62" s="96"/>
      <c r="B62" s="20"/>
      <c r="C62" s="97"/>
      <c r="D62" s="96"/>
      <c r="E62" s="96"/>
      <c r="F62" s="96"/>
      <c r="G62" s="97"/>
      <c r="H62" s="96"/>
      <c r="I62" s="96"/>
      <c r="J62" s="96"/>
      <c r="K62" s="96"/>
      <c r="L62" s="7"/>
      <c r="M62" s="42"/>
      <c r="N62" s="42"/>
      <c r="O62" s="42"/>
      <c r="P62" s="42"/>
      <c r="Q62" s="42"/>
      <c r="R62" s="42"/>
      <c r="S62" s="42"/>
      <c r="T62" s="42"/>
      <c r="U62" s="7"/>
      <c r="V62" s="7"/>
      <c r="W62" s="7"/>
      <c r="X62" s="7"/>
    </row>
    <row r="63" spans="1:28" s="5" customFormat="1" ht="12.75" x14ac:dyDescent="0.2">
      <c r="A63" s="98" t="s">
        <v>86</v>
      </c>
      <c r="B63" s="98"/>
      <c r="C63" s="98"/>
      <c r="D63" s="98"/>
      <c r="E63" s="98"/>
      <c r="F63" s="98"/>
      <c r="G63" s="99"/>
      <c r="H63" s="99"/>
      <c r="I63" s="99"/>
      <c r="J63" s="99"/>
      <c r="K63" s="100"/>
      <c r="L63" s="7"/>
      <c r="M63" s="42"/>
      <c r="N63" s="42"/>
      <c r="O63" s="42"/>
      <c r="P63" s="42"/>
      <c r="Q63" s="42"/>
      <c r="R63" s="42"/>
      <c r="S63" s="42"/>
      <c r="T63" s="42"/>
      <c r="U63" s="7"/>
      <c r="V63" s="7"/>
      <c r="W63" s="7"/>
      <c r="X63" s="7"/>
    </row>
    <row r="64" spans="1:28" s="5" customFormat="1" ht="12.75" x14ac:dyDescent="0.2">
      <c r="A64" s="101"/>
      <c r="B64" s="101"/>
      <c r="C64" s="101"/>
      <c r="D64" s="102"/>
      <c r="E64" s="102"/>
      <c r="F64" s="103" t="s">
        <v>87</v>
      </c>
      <c r="G64" s="104" t="s">
        <v>88</v>
      </c>
      <c r="H64" s="105"/>
      <c r="I64" s="106"/>
      <c r="J64" s="106"/>
      <c r="K64" s="107"/>
      <c r="L64" s="7"/>
      <c r="M64" s="42"/>
      <c r="N64" s="42"/>
      <c r="O64" s="42"/>
      <c r="P64" s="42"/>
      <c r="Q64" s="42"/>
      <c r="R64" s="42"/>
      <c r="S64" s="42"/>
      <c r="T64" s="42"/>
      <c r="U64" s="7"/>
      <c r="V64" s="7"/>
      <c r="W64" s="7"/>
      <c r="X64" s="7"/>
    </row>
    <row r="65" spans="1:35" s="5" customFormat="1" ht="12.75" x14ac:dyDescent="0.2">
      <c r="A65" s="14"/>
      <c r="E65" s="15" t="s">
        <v>0</v>
      </c>
      <c r="F65" s="16" t="str">
        <f>$C$1</f>
        <v>R. Abbott</v>
      </c>
      <c r="H65" s="17"/>
      <c r="I65" s="15" t="s">
        <v>46</v>
      </c>
      <c r="J65" s="18" t="str">
        <f>$G$2</f>
        <v>AA-SM-515-001</v>
      </c>
      <c r="K65" s="19"/>
      <c r="L65" s="20"/>
      <c r="M65" s="42"/>
      <c r="N65" s="42"/>
      <c r="O65" s="42"/>
      <c r="P65" s="42"/>
      <c r="Q65" s="45"/>
      <c r="R65" s="46"/>
      <c r="S65" s="47"/>
      <c r="T65" s="44"/>
    </row>
    <row r="66" spans="1:35" s="5" customFormat="1" ht="12.75" x14ac:dyDescent="0.2">
      <c r="E66" s="15" t="s">
        <v>3</v>
      </c>
      <c r="F66" s="17" t="str">
        <f>$C$2</f>
        <v xml:space="preserve"> </v>
      </c>
      <c r="H66" s="17"/>
      <c r="I66" s="15" t="s">
        <v>47</v>
      </c>
      <c r="J66" s="19" t="str">
        <f>$G$3</f>
        <v>IR</v>
      </c>
      <c r="K66" s="19"/>
      <c r="L66" s="20"/>
      <c r="M66" s="42">
        <v>1</v>
      </c>
      <c r="N66" s="42"/>
      <c r="O66" s="42"/>
      <c r="P66" s="42"/>
      <c r="Q66" s="45"/>
      <c r="R66" s="46"/>
      <c r="S66" s="47"/>
      <c r="T66" s="44"/>
    </row>
    <row r="67" spans="1:35" s="5" customFormat="1" ht="12.75" x14ac:dyDescent="0.2">
      <c r="E67" s="15" t="s">
        <v>6</v>
      </c>
      <c r="F67" s="17" t="str">
        <f>$C$3</f>
        <v>05/03/2017</v>
      </c>
      <c r="H67" s="17"/>
      <c r="I67" s="15" t="s">
        <v>48</v>
      </c>
      <c r="J67" s="16" t="str">
        <f>L67&amp;" of "&amp;$G$1</f>
        <v>2 of 6</v>
      </c>
      <c r="K67" s="17"/>
      <c r="L67" s="20">
        <f>SUM($M$1:M66)</f>
        <v>2</v>
      </c>
      <c r="M67" s="42"/>
      <c r="N67" s="42"/>
      <c r="O67" s="42"/>
      <c r="P67" s="42"/>
      <c r="Q67" s="45"/>
      <c r="R67" s="46"/>
      <c r="S67" s="47"/>
      <c r="T67" s="44"/>
    </row>
    <row r="68" spans="1:35" s="5" customFormat="1" ht="12.75" x14ac:dyDescent="0.2">
      <c r="E68" s="15" t="s">
        <v>49</v>
      </c>
      <c r="F68" s="17" t="str">
        <f>$C$5</f>
        <v>STANDARD SPREADSHEET METHOD</v>
      </c>
      <c r="I68" s="21"/>
      <c r="J68" s="16"/>
      <c r="M68" s="42"/>
      <c r="N68" s="42"/>
      <c r="O68" s="42"/>
      <c r="P68" s="42"/>
      <c r="Q68" s="42"/>
      <c r="R68" s="42"/>
      <c r="S68" s="43"/>
      <c r="T68" s="44"/>
    </row>
    <row r="69" spans="1:35" s="5" customFormat="1" x14ac:dyDescent="0.25">
      <c r="A69" s="48"/>
      <c r="B69" s="23" t="str">
        <f>$G$4</f>
        <v>SIMPLIFIED PART 23 AIRCRAFT LOADS - AIRCRAFT LOADS</v>
      </c>
      <c r="C69" s="49"/>
      <c r="D69" s="49"/>
      <c r="E69" s="50"/>
      <c r="F69" s="49"/>
      <c r="G69" s="49"/>
      <c r="H69" s="49"/>
      <c r="I69" s="49"/>
      <c r="J69" s="49"/>
      <c r="K69" s="49"/>
      <c r="L69" s="7"/>
      <c r="M69" s="44"/>
      <c r="N69" s="42"/>
      <c r="O69" s="42"/>
      <c r="P69" s="42"/>
      <c r="Q69" s="42"/>
      <c r="R69" s="44"/>
      <c r="S69" s="44"/>
      <c r="T69" s="51"/>
    </row>
    <row r="70" spans="1:35" s="5" customFormat="1" ht="12.75" x14ac:dyDescent="0.2">
      <c r="A70" s="52"/>
      <c r="B70" s="52" t="s">
        <v>50</v>
      </c>
      <c r="C70" s="52"/>
      <c r="D70" s="52"/>
      <c r="E70" s="52"/>
      <c r="F70" s="52"/>
      <c r="G70" s="52"/>
      <c r="H70" s="52"/>
      <c r="I70" s="52"/>
      <c r="J70" s="52"/>
      <c r="K70" s="52"/>
      <c r="L70" s="20"/>
      <c r="M70" s="42"/>
      <c r="N70" s="42"/>
      <c r="O70" s="42"/>
      <c r="P70" s="42"/>
      <c r="Q70" s="42"/>
      <c r="R70" s="42"/>
      <c r="S70" s="42"/>
      <c r="T70" s="42"/>
    </row>
    <row r="71" spans="1:35" s="5" customFormat="1" ht="12.75" x14ac:dyDescent="0.2">
      <c r="A71" s="52"/>
      <c r="B71" s="53" t="s">
        <v>89</v>
      </c>
      <c r="C71" s="52"/>
      <c r="D71" s="54"/>
      <c r="E71" s="52"/>
      <c r="F71" s="52"/>
      <c r="G71" s="52"/>
      <c r="H71" s="52"/>
      <c r="I71" s="52"/>
      <c r="J71" s="52"/>
      <c r="K71" s="52"/>
      <c r="M71" s="42"/>
      <c r="N71" s="42"/>
      <c r="O71" s="42"/>
      <c r="P71" s="42"/>
      <c r="Q71" s="42"/>
      <c r="R71" s="42"/>
      <c r="S71" s="42"/>
      <c r="T71" s="42"/>
    </row>
    <row r="72" spans="1:35" s="5" customFormat="1" ht="12.75" x14ac:dyDescent="0.2">
      <c r="A72" s="52"/>
      <c r="C72" s="52"/>
      <c r="D72" s="54"/>
      <c r="E72" s="52"/>
      <c r="F72" s="52"/>
      <c r="G72" s="52"/>
      <c r="H72" s="52"/>
      <c r="I72" s="52"/>
      <c r="J72" s="52"/>
      <c r="K72" s="52"/>
      <c r="M72" s="42"/>
      <c r="N72" s="42"/>
      <c r="O72" s="42"/>
      <c r="P72" s="42"/>
      <c r="Q72" s="42"/>
      <c r="R72" s="42"/>
      <c r="S72" s="42"/>
      <c r="T72" s="42"/>
      <c r="V72" s="55"/>
      <c r="W72" s="55"/>
      <c r="AC72" s="15"/>
    </row>
    <row r="73" spans="1:35" s="5" customFormat="1" ht="13.5" customHeight="1" x14ac:dyDescent="0.2">
      <c r="A73" s="52"/>
      <c r="B73" s="52"/>
      <c r="C73" s="52"/>
      <c r="D73" s="54"/>
      <c r="E73" s="52"/>
      <c r="F73" s="52"/>
      <c r="G73" s="52"/>
      <c r="H73" s="52"/>
      <c r="I73" s="52"/>
      <c r="J73" s="52"/>
      <c r="K73" s="52"/>
      <c r="L73" s="7"/>
      <c r="M73" s="42"/>
      <c r="N73" s="42"/>
      <c r="O73" s="42"/>
      <c r="P73" s="42"/>
      <c r="Q73" s="42"/>
      <c r="R73" s="42"/>
      <c r="S73" s="42"/>
      <c r="T73" s="42"/>
      <c r="U73" s="7"/>
      <c r="V73" s="55"/>
      <c r="W73" s="55"/>
      <c r="X73" s="7"/>
      <c r="Z73" s="20"/>
      <c r="AA73" s="56"/>
      <c r="AB73" s="56"/>
    </row>
    <row r="74" spans="1:35" s="5" customFormat="1" ht="12.75" x14ac:dyDescent="0.2">
      <c r="A74" s="52"/>
      <c r="B74" s="5" t="s">
        <v>90</v>
      </c>
      <c r="E74" s="54" t="s">
        <v>91</v>
      </c>
      <c r="F74" s="88">
        <f>J46</f>
        <v>1.3553216371475063</v>
      </c>
      <c r="G74" s="52"/>
      <c r="H74" s="52"/>
      <c r="I74" s="52"/>
      <c r="J74" s="52"/>
      <c r="K74" s="52"/>
      <c r="L74" s="7"/>
      <c r="M74" s="42"/>
      <c r="N74" s="42"/>
      <c r="O74" s="42"/>
      <c r="P74" s="42"/>
      <c r="Q74" s="42"/>
      <c r="R74" s="42"/>
      <c r="S74" s="42"/>
      <c r="T74" s="42"/>
      <c r="U74" s="7"/>
      <c r="V74" s="55"/>
      <c r="W74" s="55"/>
      <c r="X74" s="7"/>
      <c r="Z74" s="56"/>
      <c r="AA74" s="20"/>
      <c r="AB74" s="61"/>
    </row>
    <row r="75" spans="1:35" s="5" customFormat="1" ht="12.75" x14ac:dyDescent="0.2">
      <c r="A75" s="52"/>
      <c r="B75" s="54" t="s">
        <v>92</v>
      </c>
      <c r="C75" s="5" t="str">
        <f>[2]!xln(C76)</f>
        <v>3.8 × 12.7</v>
      </c>
      <c r="D75" s="52"/>
      <c r="E75" s="52"/>
      <c r="F75" s="52"/>
      <c r="G75" s="52"/>
      <c r="H75" s="52"/>
      <c r="I75" s="52"/>
      <c r="J75" s="52"/>
      <c r="K75" s="52"/>
      <c r="L75" s="7"/>
      <c r="M75" s="42"/>
      <c r="N75" s="42"/>
      <c r="O75" s="42"/>
      <c r="P75" s="42"/>
      <c r="Q75" s="42"/>
      <c r="R75" s="42"/>
      <c r="S75" s="42"/>
      <c r="T75" s="42"/>
      <c r="U75" s="7"/>
      <c r="V75" s="55"/>
      <c r="W75" s="55"/>
      <c r="X75" s="7"/>
      <c r="Z75" s="56"/>
      <c r="AA75" s="20"/>
      <c r="AB75" s="61"/>
      <c r="AC75" s="62"/>
      <c r="AE75" s="63"/>
      <c r="AF75" s="62"/>
      <c r="AG75" s="62"/>
      <c r="AH75" s="62"/>
    </row>
    <row r="76" spans="1:35" s="5" customFormat="1" ht="12.75" x14ac:dyDescent="0.2">
      <c r="A76" s="52"/>
      <c r="B76" s="54" t="s">
        <v>78</v>
      </c>
      <c r="C76" s="85">
        <f>C35*C19</f>
        <v>48.223350253807105</v>
      </c>
      <c r="D76" s="92" t="s">
        <v>93</v>
      </c>
      <c r="E76" s="52"/>
      <c r="F76" s="52"/>
      <c r="G76" s="52"/>
      <c r="H76" s="52"/>
      <c r="I76" s="52"/>
      <c r="J76" s="52"/>
      <c r="K76" s="52"/>
      <c r="L76" s="7"/>
      <c r="M76" s="42"/>
      <c r="N76" s="42"/>
      <c r="O76" s="42"/>
      <c r="P76" s="42"/>
      <c r="Q76" s="42"/>
      <c r="R76" s="42"/>
      <c r="S76" s="42"/>
      <c r="T76" s="42"/>
      <c r="U76" s="7"/>
      <c r="V76" s="55"/>
      <c r="X76" s="108">
        <v>1.5</v>
      </c>
      <c r="Y76" s="108">
        <v>1.4</v>
      </c>
      <c r="Z76" s="109">
        <v>1.3</v>
      </c>
      <c r="AA76" s="109">
        <v>1.2</v>
      </c>
      <c r="AB76" s="109">
        <v>1.1000000000000001</v>
      </c>
      <c r="AC76" s="109">
        <v>1</v>
      </c>
      <c r="AD76" s="62"/>
      <c r="AE76" s="62"/>
      <c r="AF76" s="5">
        <f>INDEX(X76:AC76,AF77)</f>
        <v>1.4</v>
      </c>
      <c r="AG76" s="5">
        <f>INDEX(X76:AC76,AG77)</f>
        <v>1.3</v>
      </c>
      <c r="AH76" s="62"/>
      <c r="AI76" s="27"/>
    </row>
    <row r="77" spans="1:35" s="5" customFormat="1" ht="12.75" x14ac:dyDescent="0.2">
      <c r="A77" s="66"/>
      <c r="B77" s="54"/>
      <c r="C77" s="71"/>
      <c r="D77" s="52"/>
      <c r="E77" s="52"/>
      <c r="F77" s="52"/>
      <c r="G77" s="52"/>
      <c r="H77" s="71"/>
      <c r="I77" s="52"/>
      <c r="J77" s="52"/>
      <c r="K77" s="52"/>
      <c r="L77" s="7"/>
      <c r="M77" s="42"/>
      <c r="N77" s="42"/>
      <c r="O77" s="42"/>
      <c r="P77" s="42"/>
      <c r="Q77" s="42"/>
      <c r="R77" s="42"/>
      <c r="S77" s="42"/>
      <c r="T77" s="42"/>
      <c r="U77" s="7"/>
      <c r="V77" s="55"/>
      <c r="W77" s="55"/>
      <c r="X77" s="7"/>
      <c r="Y77" s="27"/>
      <c r="Z77" s="67"/>
      <c r="AA77" s="20"/>
      <c r="AB77" s="61"/>
      <c r="AC77" s="68"/>
      <c r="AD77" s="68"/>
      <c r="AE77" s="68"/>
      <c r="AF77" s="5">
        <f>MATCH(AF81,X76:AC76,-1)</f>
        <v>2</v>
      </c>
      <c r="AG77" s="62">
        <f>AF77+1</f>
        <v>3</v>
      </c>
      <c r="AH77" s="68"/>
      <c r="AI77" s="27"/>
    </row>
    <row r="78" spans="1:35" s="5" customFormat="1" ht="12.75" x14ac:dyDescent="0.2">
      <c r="A78" s="66"/>
      <c r="B78" s="71" t="s">
        <v>94</v>
      </c>
      <c r="C78" s="66"/>
      <c r="D78" s="54"/>
      <c r="E78" s="52"/>
      <c r="F78" s="73"/>
      <c r="G78" s="52"/>
      <c r="H78" s="73"/>
      <c r="I78" s="52"/>
      <c r="J78" s="52"/>
      <c r="K78" s="52"/>
      <c r="L78" s="7"/>
      <c r="M78" s="42"/>
      <c r="N78" s="42"/>
      <c r="O78" s="42"/>
      <c r="P78" s="42"/>
      <c r="Q78" s="42"/>
      <c r="R78" s="42"/>
      <c r="S78" s="42"/>
      <c r="T78" s="42"/>
      <c r="U78" s="7"/>
      <c r="V78" s="55"/>
      <c r="W78" s="55"/>
      <c r="X78" s="5">
        <v>2.6888999999999998</v>
      </c>
      <c r="Y78" s="5">
        <v>2.5099999999999998</v>
      </c>
      <c r="Z78" s="5">
        <v>2.38</v>
      </c>
      <c r="AA78" s="5">
        <v>2.21</v>
      </c>
      <c r="AB78" s="5">
        <v>2.08</v>
      </c>
      <c r="AC78" s="5">
        <v>1.92</v>
      </c>
      <c r="AF78" s="5">
        <f>INDEX(X78:AC78,AF77)</f>
        <v>2.5099999999999998</v>
      </c>
      <c r="AG78" s="5">
        <f>INDEX(X78:AC78,AG77)</f>
        <v>2.38</v>
      </c>
    </row>
    <row r="79" spans="1:35" s="5" customFormat="1" ht="12.75" x14ac:dyDescent="0.2">
      <c r="A79" s="66"/>
      <c r="B79" s="54" t="s">
        <v>92</v>
      </c>
      <c r="C79" s="5" t="str">
        <f>[2]!xln(C80)</f>
        <v>3.8 × 8.63</v>
      </c>
      <c r="D79" s="87"/>
      <c r="E79" s="52"/>
      <c r="F79" s="73"/>
      <c r="G79" s="52"/>
      <c r="H79" s="73"/>
      <c r="I79" s="52"/>
      <c r="J79" s="52"/>
      <c r="K79" s="52"/>
      <c r="L79" s="7"/>
      <c r="M79" s="42"/>
      <c r="N79" s="42"/>
      <c r="O79" s="42"/>
      <c r="P79" s="42"/>
      <c r="Q79" s="42"/>
      <c r="R79" s="42"/>
      <c r="S79" s="42"/>
      <c r="T79" s="42"/>
      <c r="U79" s="7"/>
      <c r="V79" s="55"/>
      <c r="W79" s="55"/>
      <c r="X79" s="27">
        <v>-0.21</v>
      </c>
      <c r="Y79" s="27">
        <v>-0.20899999999999999</v>
      </c>
      <c r="Z79" s="27">
        <v>-0.20899999999999999</v>
      </c>
      <c r="AA79" s="27">
        <v>-0.20899999999999999</v>
      </c>
      <c r="AB79" s="27">
        <v>-0.20899999999999999</v>
      </c>
      <c r="AC79" s="27">
        <v>-0.20899999999999999</v>
      </c>
      <c r="AF79" s="5">
        <f>INDEX(X79:AC79,AF77)</f>
        <v>-0.20899999999999999</v>
      </c>
      <c r="AG79" s="5">
        <f>INDEX(X79:AC79,AG77)</f>
        <v>-0.20899999999999999</v>
      </c>
      <c r="AH79" s="68"/>
    </row>
    <row r="80" spans="1:35" s="5" customFormat="1" ht="12.75" x14ac:dyDescent="0.2">
      <c r="A80" s="52"/>
      <c r="B80" s="52"/>
      <c r="C80" s="65">
        <f>C35*C23</f>
        <v>32.791878172588831</v>
      </c>
      <c r="D80" s="92" t="s">
        <v>93</v>
      </c>
      <c r="E80" s="52"/>
      <c r="F80" s="74"/>
      <c r="G80" s="52"/>
      <c r="H80" s="74"/>
      <c r="I80" s="52"/>
      <c r="J80" s="52"/>
      <c r="K80" s="52"/>
      <c r="L80" s="7"/>
      <c r="M80" s="42"/>
      <c r="N80" s="42"/>
      <c r="O80" s="42"/>
      <c r="P80" s="42"/>
      <c r="Q80" s="42"/>
      <c r="R80" s="42"/>
      <c r="S80" s="42"/>
      <c r="T80" s="42"/>
      <c r="U80" s="7"/>
      <c r="V80" s="55"/>
      <c r="W80" s="55"/>
      <c r="X80" s="7"/>
      <c r="AD80" s="20"/>
      <c r="AE80" s="20"/>
      <c r="AF80" s="20"/>
      <c r="AG80" s="20"/>
      <c r="AH80" s="68"/>
    </row>
    <row r="81" spans="1:35" s="5" customFormat="1" ht="12.75" x14ac:dyDescent="0.2">
      <c r="A81" s="66"/>
      <c r="B81" s="52"/>
      <c r="C81" s="87"/>
      <c r="D81" s="74"/>
      <c r="E81" s="52"/>
      <c r="F81" s="74"/>
      <c r="G81" s="52"/>
      <c r="H81" s="74"/>
      <c r="I81" s="52"/>
      <c r="J81" s="52"/>
      <c r="K81" s="52"/>
      <c r="L81" s="7"/>
      <c r="M81" s="42"/>
      <c r="N81" s="42"/>
      <c r="O81" s="42"/>
      <c r="P81" s="42"/>
      <c r="Q81" s="42"/>
      <c r="R81" s="42"/>
      <c r="S81" s="42"/>
      <c r="T81" s="42"/>
      <c r="U81" s="7"/>
      <c r="V81" s="55"/>
      <c r="W81" s="55"/>
      <c r="X81" s="7"/>
      <c r="AD81" s="20"/>
      <c r="AE81" s="20"/>
      <c r="AF81" s="94">
        <f>IF(F74&gt;1.5,1.5,F74)</f>
        <v>1.3553216371475063</v>
      </c>
      <c r="AG81" s="20"/>
      <c r="AH81" s="68"/>
    </row>
    <row r="82" spans="1:35" s="5" customFormat="1" ht="14.25" x14ac:dyDescent="0.25">
      <c r="A82" s="66"/>
      <c r="B82" s="110" t="s">
        <v>95</v>
      </c>
      <c r="C82" s="87"/>
      <c r="D82" s="74"/>
      <c r="E82" s="52"/>
      <c r="F82" s="74"/>
      <c r="G82" s="52"/>
      <c r="H82" s="74"/>
      <c r="I82" s="52"/>
      <c r="J82" s="52"/>
      <c r="K82" s="52"/>
      <c r="L82" s="7"/>
      <c r="M82" s="42"/>
      <c r="N82" s="42"/>
      <c r="O82" s="42"/>
      <c r="P82" s="42"/>
      <c r="Q82" s="42"/>
      <c r="R82" s="42"/>
      <c r="S82" s="42"/>
      <c r="T82" s="42"/>
      <c r="U82" s="7"/>
      <c r="V82" s="55"/>
      <c r="W82" s="55">
        <v>0</v>
      </c>
      <c r="X82" s="7"/>
      <c r="AD82" s="20">
        <v>1</v>
      </c>
      <c r="AE82" s="20"/>
      <c r="AF82" s="20"/>
      <c r="AG82" s="20"/>
    </row>
    <row r="83" spans="1:35" s="5" customFormat="1" ht="12.75" x14ac:dyDescent="0.2">
      <c r="A83" s="66"/>
      <c r="B83" s="66"/>
      <c r="C83" s="87"/>
      <c r="D83" s="74"/>
      <c r="E83" s="52"/>
      <c r="F83" s="74"/>
      <c r="G83" s="52"/>
      <c r="H83" s="74"/>
      <c r="I83" s="52"/>
      <c r="J83" s="52"/>
      <c r="K83" s="66"/>
      <c r="L83" s="7"/>
      <c r="M83" s="42"/>
      <c r="N83" s="42"/>
      <c r="O83" s="42"/>
      <c r="P83" s="42"/>
      <c r="Q83" s="42"/>
      <c r="R83" s="42"/>
      <c r="S83" s="42"/>
      <c r="T83" s="42"/>
      <c r="U83" s="7"/>
      <c r="V83" s="55"/>
      <c r="W83" s="55">
        <v>5</v>
      </c>
      <c r="X83" s="111">
        <f xml:space="preserve"> X78*W83^X79</f>
        <v>1.9177454023549534</v>
      </c>
      <c r="Y83" s="111">
        <f xml:space="preserve"> Y78*W83^Y79</f>
        <v>1.7930359227956436</v>
      </c>
      <c r="Z83" s="111">
        <f xml:space="preserve"> Z78*W83^Z79</f>
        <v>1.7001695204197738</v>
      </c>
      <c r="AA83" s="111">
        <f xml:space="preserve"> AA78*W83^AA79</f>
        <v>1.5787288403897899</v>
      </c>
      <c r="AB83" s="111">
        <f xml:space="preserve"> AB78*W83^AB79</f>
        <v>1.48586243801392</v>
      </c>
      <c r="AC83" s="111">
        <f xml:space="preserve"> AC78*W83^AC79</f>
        <v>1.3715653273974644</v>
      </c>
      <c r="AD83" s="20">
        <v>1</v>
      </c>
      <c r="AE83" s="20"/>
      <c r="AF83" s="20"/>
      <c r="AG83" s="20"/>
    </row>
    <row r="84" spans="1:35" s="5" customFormat="1" ht="12.75" x14ac:dyDescent="0.2">
      <c r="A84" s="66"/>
      <c r="B84" s="66"/>
      <c r="C84" s="87"/>
      <c r="D84" s="74"/>
      <c r="E84" s="52"/>
      <c r="F84" s="74"/>
      <c r="G84" s="52"/>
      <c r="H84" s="74"/>
      <c r="I84" s="52"/>
      <c r="J84" s="52"/>
      <c r="K84" s="66"/>
      <c r="L84" s="7"/>
      <c r="M84" s="42"/>
      <c r="N84" s="42"/>
      <c r="O84" s="42"/>
      <c r="P84" s="42"/>
      <c r="Q84" s="42"/>
      <c r="R84" s="42"/>
      <c r="S84" s="42"/>
      <c r="T84" s="42"/>
      <c r="U84" s="7"/>
      <c r="V84" s="55"/>
      <c r="W84" s="55">
        <v>7</v>
      </c>
      <c r="X84" s="111">
        <f xml:space="preserve"> X78*W84^X79</f>
        <v>1.7869156923480813</v>
      </c>
      <c r="Y84" s="111">
        <f xml:space="preserve"> Y78*W84^Y79</f>
        <v>1.6712762096790972</v>
      </c>
      <c r="Z84" s="111">
        <f xml:space="preserve"> Z78*W84^Z79</f>
        <v>1.5847160872654389</v>
      </c>
      <c r="AA84" s="111">
        <f xml:space="preserve"> AA78*W84^AA79</f>
        <v>1.4715220810321934</v>
      </c>
      <c r="AB84" s="111">
        <f xml:space="preserve"> AB78*W84^AB79</f>
        <v>1.3849619586185349</v>
      </c>
      <c r="AC84" s="111">
        <f xml:space="preserve"> AC78*W84^AC79</f>
        <v>1.2784264233401861</v>
      </c>
      <c r="AD84" s="20">
        <v>1</v>
      </c>
      <c r="AE84" s="55">
        <f>C76</f>
        <v>48.223350253807105</v>
      </c>
      <c r="AF84" s="111">
        <f xml:space="preserve"> AF78*AE84^AF79</f>
        <v>1.1165365111918288</v>
      </c>
      <c r="AG84" s="111">
        <f xml:space="preserve"> AG78*AE84^AG79</f>
        <v>1.0587079269468338</v>
      </c>
    </row>
    <row r="85" spans="1:35" s="5" customFormat="1" ht="12.75" x14ac:dyDescent="0.2">
      <c r="A85" s="52"/>
      <c r="B85" s="52"/>
      <c r="C85" s="52"/>
      <c r="D85" s="52"/>
      <c r="E85" s="52"/>
      <c r="F85" s="52"/>
      <c r="G85" s="52"/>
      <c r="H85" s="52"/>
      <c r="I85" s="52"/>
      <c r="J85" s="52"/>
      <c r="K85" s="52"/>
      <c r="L85" s="7"/>
      <c r="M85" s="42"/>
      <c r="N85" s="42"/>
      <c r="O85" s="42"/>
      <c r="P85" s="42"/>
      <c r="Q85" s="42"/>
      <c r="R85" s="42"/>
      <c r="S85" s="42"/>
      <c r="T85" s="42"/>
      <c r="U85" s="7"/>
      <c r="V85" s="55"/>
      <c r="W85" s="55">
        <v>9</v>
      </c>
      <c r="X85" s="111">
        <f xml:space="preserve"> X78*W85^X79</f>
        <v>1.6950547256132058</v>
      </c>
      <c r="Y85" s="111">
        <f xml:space="preserve"> Y78*W85^Y79</f>
        <v>1.5857584599172345</v>
      </c>
      <c r="Z85" s="111">
        <f xml:space="preserve"> Z78*W85^Z79</f>
        <v>1.5036275436665412</v>
      </c>
      <c r="AA85" s="111">
        <f xml:space="preserve"> AA78*W85^AA79</f>
        <v>1.3962255762617883</v>
      </c>
      <c r="AB85" s="111">
        <f xml:space="preserve"> AB78*W85^AB79</f>
        <v>1.314094660011095</v>
      </c>
      <c r="AC85" s="111">
        <f xml:space="preserve"> AC78*W85^AC79</f>
        <v>1.2130104553948566</v>
      </c>
      <c r="AD85" s="20">
        <v>1</v>
      </c>
      <c r="AE85" s="68"/>
      <c r="AF85" s="77">
        <f>(AF84-AG84)/(AF76-AG76)*(AF81-AG76)+AG84</f>
        <v>1.09069964649039</v>
      </c>
      <c r="AG85" s="68"/>
      <c r="AH85" s="68"/>
      <c r="AI85" s="27"/>
    </row>
    <row r="86" spans="1:35" s="5" customFormat="1" ht="12.75" x14ac:dyDescent="0.2">
      <c r="A86" s="52"/>
      <c r="B86" s="52"/>
      <c r="C86" s="52"/>
      <c r="D86" s="52"/>
      <c r="E86" s="52"/>
      <c r="F86" s="52"/>
      <c r="G86" s="52"/>
      <c r="H86" s="52"/>
      <c r="I86" s="52"/>
      <c r="J86" s="52"/>
      <c r="K86" s="52"/>
      <c r="L86" s="7"/>
      <c r="M86" s="42"/>
      <c r="N86" s="42"/>
      <c r="O86" s="42"/>
      <c r="P86" s="42"/>
      <c r="Q86" s="42"/>
      <c r="R86" s="42"/>
      <c r="S86" s="42"/>
      <c r="T86" s="42"/>
      <c r="U86" s="7"/>
      <c r="V86" s="55"/>
      <c r="W86" s="55">
        <v>11</v>
      </c>
      <c r="X86" s="111">
        <f xml:space="preserve"> X78*W86^X79</f>
        <v>1.6251078466709674</v>
      </c>
      <c r="Y86" s="111">
        <f xml:space="preserve"> Y78*W86^Y79</f>
        <v>1.5206268347464533</v>
      </c>
      <c r="Z86" s="111">
        <f xml:space="preserve"> Z78*W86^Z79</f>
        <v>1.4418692696002227</v>
      </c>
      <c r="AA86" s="111">
        <f xml:space="preserve"> AA78*W86^AA79</f>
        <v>1.3388786074859211</v>
      </c>
      <c r="AB86" s="111">
        <f xml:space="preserve"> AB78*W86^AB79</f>
        <v>1.2601210423396905</v>
      </c>
      <c r="AC86" s="111">
        <f xml:space="preserve"> AC78*W86^AC79</f>
        <v>1.1631886544674066</v>
      </c>
      <c r="AD86" s="20">
        <v>1</v>
      </c>
      <c r="AE86" s="75"/>
      <c r="AF86" s="75"/>
      <c r="AG86" s="75"/>
      <c r="AH86" s="75"/>
      <c r="AI86" s="76"/>
    </row>
    <row r="87" spans="1:35" s="5" customFormat="1" ht="12.75" x14ac:dyDescent="0.2">
      <c r="A87" s="54"/>
      <c r="B87" s="52"/>
      <c r="C87" s="52"/>
      <c r="D87" s="112"/>
      <c r="E87" s="52"/>
      <c r="F87" s="52"/>
      <c r="G87" s="52"/>
      <c r="H87" s="52"/>
      <c r="I87" s="52"/>
      <c r="J87" s="52"/>
      <c r="K87" s="52"/>
      <c r="L87" s="7"/>
      <c r="M87" s="42"/>
      <c r="N87" s="42"/>
      <c r="O87" s="42"/>
      <c r="P87" s="42"/>
      <c r="Q87" s="42"/>
      <c r="R87" s="42"/>
      <c r="S87" s="42"/>
      <c r="T87" s="42"/>
      <c r="U87" s="7"/>
      <c r="V87" s="55"/>
      <c r="W87" s="55">
        <v>13</v>
      </c>
      <c r="X87" s="111">
        <f xml:space="preserve"> X78*W87^X79</f>
        <v>1.5690852762615055</v>
      </c>
      <c r="Y87" s="111">
        <f xml:space="preserve"> Y78*W87^Y79</f>
        <v>1.4684513432006499</v>
      </c>
      <c r="Z87" s="111">
        <f xml:space="preserve"> Z78*W87^Z79</f>
        <v>1.3923960943496203</v>
      </c>
      <c r="AA87" s="111">
        <f xml:space="preserve"> AA78*W87^AA79</f>
        <v>1.2929392304675045</v>
      </c>
      <c r="AB87" s="111">
        <f xml:space="preserve"> AB78*W87^AB79</f>
        <v>1.2168839816164749</v>
      </c>
      <c r="AC87" s="111">
        <f xml:space="preserve"> AC78*W87^AC79</f>
        <v>1.1232775214921307</v>
      </c>
      <c r="AD87" s="20">
        <v>1</v>
      </c>
      <c r="AE87" s="75"/>
      <c r="AF87" s="75"/>
      <c r="AG87" s="75"/>
      <c r="AH87" s="75"/>
      <c r="AI87" s="76"/>
    </row>
    <row r="88" spans="1:35" s="5" customFormat="1" ht="12.75" x14ac:dyDescent="0.2">
      <c r="A88" s="54"/>
      <c r="B88" s="113"/>
      <c r="C88" s="71"/>
      <c r="D88" s="82"/>
      <c r="E88" s="52"/>
      <c r="F88" s="54"/>
      <c r="G88" s="72"/>
      <c r="H88" s="52"/>
      <c r="I88" s="52"/>
      <c r="J88" s="52"/>
      <c r="K88" s="52"/>
      <c r="L88" s="7"/>
      <c r="M88" s="42"/>
      <c r="N88" s="42"/>
      <c r="O88" s="42"/>
      <c r="P88" s="42"/>
      <c r="Q88" s="42"/>
      <c r="R88" s="42"/>
      <c r="S88" s="42"/>
      <c r="T88" s="42"/>
      <c r="U88" s="7"/>
      <c r="V88" s="55"/>
      <c r="W88" s="55">
        <v>15</v>
      </c>
      <c r="X88" s="111">
        <f xml:space="preserve"> X78*W88^X79</f>
        <v>1.5226338720264994</v>
      </c>
      <c r="Y88" s="111">
        <f xml:space="preserve"> Y78*W88^Y79</f>
        <v>1.4251830492904716</v>
      </c>
      <c r="Z88" s="111">
        <f xml:space="preserve"> Z78*W88^Z79</f>
        <v>1.3513687877734353</v>
      </c>
      <c r="AA88" s="111">
        <f xml:space="preserve"> AA78*W88^AA79</f>
        <v>1.2548424457896183</v>
      </c>
      <c r="AB88" s="111">
        <f xml:space="preserve"> AB78*W88^AB79</f>
        <v>1.181028184272582</v>
      </c>
      <c r="AC88" s="111">
        <f xml:space="preserve"> AC78*W88^AC79</f>
        <v>1.0901798624054604</v>
      </c>
      <c r="AD88" s="20">
        <v>1</v>
      </c>
      <c r="AE88" s="75"/>
      <c r="AF88" s="75"/>
      <c r="AG88" s="75"/>
      <c r="AH88" s="75"/>
      <c r="AI88" s="76"/>
    </row>
    <row r="89" spans="1:35" s="5" customFormat="1" ht="12.75" x14ac:dyDescent="0.2">
      <c r="A89" s="54"/>
      <c r="B89" s="52"/>
      <c r="C89" s="52"/>
      <c r="D89" s="82"/>
      <c r="E89" s="52"/>
      <c r="F89" s="54"/>
      <c r="G89" s="52"/>
      <c r="H89" s="52"/>
      <c r="I89" s="52"/>
      <c r="J89" s="71"/>
      <c r="K89" s="71"/>
      <c r="L89" s="7"/>
      <c r="M89" s="42"/>
      <c r="N89" s="42"/>
      <c r="O89" s="42"/>
      <c r="P89" s="42"/>
      <c r="Q89" s="42"/>
      <c r="R89" s="42"/>
      <c r="S89" s="42"/>
      <c r="T89" s="42"/>
      <c r="U89" s="7"/>
      <c r="V89" s="55"/>
      <c r="W89" s="55">
        <v>17</v>
      </c>
      <c r="X89" s="111">
        <f xml:space="preserve"> X78*W89^X79</f>
        <v>1.4831339545270961</v>
      </c>
      <c r="Y89" s="111">
        <f xml:space="preserve"> Y78*W89^Y79</f>
        <v>1.3883849487571391</v>
      </c>
      <c r="Z89" s="111">
        <f xml:space="preserve"> Z78*W89^Z79</f>
        <v>1.3164765649569687</v>
      </c>
      <c r="AA89" s="111">
        <f xml:space="preserve"> AA78*W89^AA79</f>
        <v>1.2224425246028996</v>
      </c>
      <c r="AB89" s="111">
        <f xml:space="preserve"> AB78*W89^AB79</f>
        <v>1.150534140802729</v>
      </c>
      <c r="AC89" s="111">
        <f xml:space="preserve"> AC78*W89^AC79</f>
        <v>1.0620315145871344</v>
      </c>
      <c r="AD89" s="20">
        <v>1</v>
      </c>
      <c r="AE89" s="75"/>
      <c r="AF89" s="75"/>
      <c r="AG89" s="75"/>
      <c r="AH89" s="75"/>
      <c r="AI89" s="76"/>
    </row>
    <row r="90" spans="1:35" s="5" customFormat="1" ht="12.75" x14ac:dyDescent="0.2">
      <c r="A90" s="54"/>
      <c r="B90" s="81"/>
      <c r="C90" s="52"/>
      <c r="D90" s="52"/>
      <c r="E90" s="52"/>
      <c r="F90" s="54"/>
      <c r="G90" s="71"/>
      <c r="H90" s="52"/>
      <c r="I90" s="52"/>
      <c r="J90" s="71"/>
      <c r="K90" s="71"/>
      <c r="L90" s="7"/>
      <c r="M90" s="42"/>
      <c r="N90" s="42"/>
      <c r="O90" s="42"/>
      <c r="P90" s="42"/>
      <c r="Q90" s="42"/>
      <c r="R90" s="42"/>
      <c r="S90" s="42"/>
      <c r="T90" s="42"/>
      <c r="U90" s="7"/>
      <c r="V90" s="55"/>
      <c r="W90" s="55">
        <v>21</v>
      </c>
      <c r="X90" s="111">
        <f xml:space="preserve"> X78*W90^X79</f>
        <v>1.41875890109488</v>
      </c>
      <c r="Y90" s="111">
        <f xml:space="preserve"> Y78*W90^Y79</f>
        <v>1.328403125913582</v>
      </c>
      <c r="Z90" s="111">
        <f xml:space="preserve"> Z78*W90^Z79</f>
        <v>1.2596013703881774</v>
      </c>
      <c r="AA90" s="111">
        <f xml:space="preserve"> AA78*W90^AA79</f>
        <v>1.1696298439318791</v>
      </c>
      <c r="AB90" s="111">
        <f xml:space="preserve"> AB78*W90^AB79</f>
        <v>1.1008280884064745</v>
      </c>
      <c r="AC90" s="111">
        <f xml:space="preserve"> AC78*W90^AC79</f>
        <v>1.0161490046828994</v>
      </c>
      <c r="AD90" s="20">
        <v>1</v>
      </c>
      <c r="AE90" s="55">
        <f>C80</f>
        <v>32.791878172588831</v>
      </c>
      <c r="AF90" s="111">
        <f xml:space="preserve"> AF78*AE90^AF79</f>
        <v>1.2102596843212126</v>
      </c>
      <c r="AG90" s="111">
        <f xml:space="preserve"> AG78*AE90^AG79</f>
        <v>1.1475769118264885</v>
      </c>
      <c r="AH90" s="75"/>
      <c r="AI90" s="76"/>
    </row>
    <row r="91" spans="1:35" s="5" customFormat="1" ht="12.75" x14ac:dyDescent="0.2">
      <c r="A91" s="52"/>
      <c r="B91" s="52"/>
      <c r="C91" s="52"/>
      <c r="D91" s="114"/>
      <c r="E91" s="52"/>
      <c r="F91" s="54"/>
      <c r="G91" s="52"/>
      <c r="H91" s="52"/>
      <c r="I91" s="52"/>
      <c r="J91" s="52"/>
      <c r="K91" s="52"/>
      <c r="L91" s="7"/>
      <c r="M91" s="42"/>
      <c r="N91" s="42"/>
      <c r="O91" s="42"/>
      <c r="P91" s="42"/>
      <c r="Q91" s="42"/>
      <c r="R91" s="42"/>
      <c r="S91" s="42"/>
      <c r="T91" s="42"/>
      <c r="U91" s="7"/>
      <c r="V91" s="55"/>
      <c r="W91" s="55">
        <v>25</v>
      </c>
      <c r="X91" s="111">
        <f xml:space="preserve"> X78*W91^X79</f>
        <v>1.3677516561618366</v>
      </c>
      <c r="Y91" s="111">
        <f xml:space="preserve"> Y78*W91^Y79</f>
        <v>1.2808676575440741</v>
      </c>
      <c r="Z91" s="111">
        <f xml:space="preserve"> Z78*W91^Z79</f>
        <v>1.2145278983884049</v>
      </c>
      <c r="AA91" s="111">
        <f xml:space="preserve"> AA78*W91^AA79</f>
        <v>1.1277759056463761</v>
      </c>
      <c r="AB91" s="111">
        <f xml:space="preserve"> AB78*W91^AB79</f>
        <v>1.0614361464907069</v>
      </c>
      <c r="AC91" s="111">
        <f xml:space="preserve"> AC78*W91^AC79</f>
        <v>0.97978721214526787</v>
      </c>
      <c r="AD91" s="20">
        <v>1</v>
      </c>
      <c r="AE91" s="61"/>
      <c r="AF91" s="77">
        <f>(AF90-AG90)/(AF76-AG76)*(AF81-AG76)+AG90</f>
        <v>1.1822540477800167</v>
      </c>
      <c r="AG91" s="78"/>
    </row>
    <row r="92" spans="1:35" s="5" customFormat="1" ht="12.75" x14ac:dyDescent="0.2">
      <c r="A92" s="52"/>
      <c r="B92" s="52"/>
      <c r="C92" s="52"/>
      <c r="D92" s="52"/>
      <c r="E92" s="52"/>
      <c r="F92" s="54"/>
      <c r="G92" s="52"/>
      <c r="H92" s="52"/>
      <c r="I92" s="52"/>
      <c r="J92" s="52"/>
      <c r="K92" s="52"/>
      <c r="L92" s="7"/>
      <c r="M92" s="42"/>
      <c r="N92" s="42"/>
      <c r="O92" s="42"/>
      <c r="P92" s="42"/>
      <c r="Q92" s="42"/>
      <c r="R92" s="42"/>
      <c r="S92" s="42"/>
      <c r="T92" s="42"/>
      <c r="U92" s="7"/>
      <c r="V92" s="55"/>
      <c r="W92" s="55">
        <v>29</v>
      </c>
      <c r="X92" s="111">
        <f xml:space="preserve"> X78*W92^X79</f>
        <v>1.3257788045080106</v>
      </c>
      <c r="Y92" s="111">
        <f xml:space="preserve"> Y78*W92^Y79</f>
        <v>1.2417453430379408</v>
      </c>
      <c r="Z92" s="111">
        <f xml:space="preserve"> Z78*W92^Z79</f>
        <v>1.1774318392152587</v>
      </c>
      <c r="AA92" s="111">
        <f xml:space="preserve"> AA78*W92^AA79</f>
        <v>1.0933295649855974</v>
      </c>
      <c r="AB92" s="111">
        <f xml:space="preserve"> AB78*W92^AB79</f>
        <v>1.0290160611629153</v>
      </c>
      <c r="AC92" s="111">
        <f xml:space="preserve"> AC78*W92^AC79</f>
        <v>0.9498609795349986</v>
      </c>
      <c r="AD92" s="20">
        <v>1</v>
      </c>
      <c r="AE92" s="80"/>
      <c r="AF92" s="80"/>
      <c r="AG92" s="80"/>
      <c r="AH92" s="80"/>
      <c r="AI92" s="80"/>
    </row>
    <row r="93" spans="1:35" s="5" customFormat="1" ht="12.75" x14ac:dyDescent="0.2">
      <c r="A93" s="52"/>
      <c r="B93" s="92"/>
      <c r="C93" s="52"/>
      <c r="D93" s="114"/>
      <c r="E93" s="52"/>
      <c r="F93" s="52"/>
      <c r="G93" s="52"/>
      <c r="H93" s="52"/>
      <c r="I93" s="52"/>
      <c r="J93" s="52"/>
      <c r="K93" s="52"/>
      <c r="L93" s="7"/>
      <c r="M93" s="42"/>
      <c r="N93" s="42"/>
      <c r="O93" s="42"/>
      <c r="P93" s="42"/>
      <c r="Q93" s="42"/>
      <c r="R93" s="42"/>
      <c r="S93" s="42"/>
      <c r="T93" s="42"/>
      <c r="U93" s="7"/>
      <c r="V93" s="55"/>
      <c r="W93" s="55">
        <v>33</v>
      </c>
      <c r="X93" s="111">
        <f xml:space="preserve"> X78*W93^X79</f>
        <v>1.2902881946679121</v>
      </c>
      <c r="Y93" s="111">
        <f xml:space="preserve"> Y78*W93^Y79</f>
        <v>1.2086604410010284</v>
      </c>
      <c r="Z93" s="111">
        <f xml:space="preserve"> Z78*W93^Z79</f>
        <v>1.1460604978416127</v>
      </c>
      <c r="AA93" s="111">
        <f xml:space="preserve"> AA78*W93^AA79</f>
        <v>1.0641990337100689</v>
      </c>
      <c r="AB93" s="111">
        <f xml:space="preserve"> AB78*W93^AB79</f>
        <v>1.0015990905506531</v>
      </c>
      <c r="AC93" s="111">
        <f xml:space="preserve"> AC78*W93^AC79</f>
        <v>0.92455300666214124</v>
      </c>
      <c r="AD93" s="20">
        <v>1</v>
      </c>
      <c r="AE93" s="80"/>
      <c r="AF93" s="94">
        <f>AE84</f>
        <v>48.223350253807105</v>
      </c>
      <c r="AG93" s="94">
        <v>0</v>
      </c>
      <c r="AH93" s="80"/>
      <c r="AI93" s="80"/>
    </row>
    <row r="94" spans="1:35" s="5" customFormat="1" ht="12.75" x14ac:dyDescent="0.2">
      <c r="A94" s="52"/>
      <c r="B94" s="52"/>
      <c r="C94" s="52"/>
      <c r="D94" s="52"/>
      <c r="E94" s="52"/>
      <c r="F94" s="52"/>
      <c r="G94" s="52"/>
      <c r="H94" s="52"/>
      <c r="I94" s="52"/>
      <c r="J94" s="52"/>
      <c r="K94" s="52"/>
      <c r="L94" s="7"/>
      <c r="M94" s="42"/>
      <c r="N94" s="42"/>
      <c r="O94" s="42"/>
      <c r="P94" s="42"/>
      <c r="Q94" s="42"/>
      <c r="R94" s="42"/>
      <c r="S94" s="42"/>
      <c r="T94" s="42"/>
      <c r="U94" s="7"/>
      <c r="V94" s="55"/>
      <c r="W94" s="55">
        <v>37</v>
      </c>
      <c r="X94" s="111">
        <f xml:space="preserve"> X78*W94^X79</f>
        <v>1.2596569555492649</v>
      </c>
      <c r="Y94" s="111">
        <f xml:space="preserve"> Y78*W94^Y79</f>
        <v>1.1801020401013891</v>
      </c>
      <c r="Z94" s="111">
        <f xml:space="preserve"> Z78*W94^Z79</f>
        <v>1.1189812173072933</v>
      </c>
      <c r="AA94" s="111">
        <f xml:space="preserve"> AA78*W94^AA79</f>
        <v>1.0390539874996296</v>
      </c>
      <c r="AB94" s="111">
        <f xml:space="preserve"> AB78*W94^AB79</f>
        <v>0.97793316470553371</v>
      </c>
      <c r="AC94" s="111">
        <f xml:space="preserve"> AC78*W94^AC79</f>
        <v>0.90270753665126191</v>
      </c>
      <c r="AD94" s="20">
        <v>1</v>
      </c>
      <c r="AE94" s="80"/>
      <c r="AF94" s="94">
        <f>AF93</f>
        <v>48.223350253807105</v>
      </c>
      <c r="AG94" s="94">
        <f>AF85</f>
        <v>1.09069964649039</v>
      </c>
      <c r="AH94" s="80"/>
      <c r="AI94" s="80"/>
    </row>
    <row r="95" spans="1:35" s="5" customFormat="1" ht="12.75" x14ac:dyDescent="0.2">
      <c r="A95" s="54"/>
      <c r="B95" s="54"/>
      <c r="C95" s="52"/>
      <c r="D95" s="52"/>
      <c r="E95" s="52"/>
      <c r="F95" s="52"/>
      <c r="G95" s="52"/>
      <c r="H95" s="52"/>
      <c r="I95" s="52"/>
      <c r="J95" s="71"/>
      <c r="K95" s="52"/>
      <c r="L95" s="7"/>
      <c r="M95" s="42"/>
      <c r="N95" s="42"/>
      <c r="O95" s="42"/>
      <c r="P95" s="42"/>
      <c r="Q95" s="42"/>
      <c r="R95" s="42"/>
      <c r="S95" s="42"/>
      <c r="T95" s="42"/>
      <c r="U95" s="7"/>
      <c r="V95" s="55"/>
      <c r="W95" s="55">
        <v>41</v>
      </c>
      <c r="X95" s="111">
        <f xml:space="preserve"> X78*W95^X79</f>
        <v>1.2327926636507454</v>
      </c>
      <c r="Y95" s="111">
        <f xml:space="preserve"> Y78*W95^Y79</f>
        <v>1.1550529547630946</v>
      </c>
      <c r="Z95" s="111">
        <f xml:space="preserve"> Z78*W95^Z79</f>
        <v>1.0952294949546475</v>
      </c>
      <c r="AA95" s="111">
        <f xml:space="preserve"> AA78*W95^AA79</f>
        <v>1.0169988167436013</v>
      </c>
      <c r="AB95" s="111">
        <f xml:space="preserve"> AB78*W95^AB79</f>
        <v>0.9571753569351541</v>
      </c>
      <c r="AC95" s="111">
        <f xml:space="preserve"> AC78*W95^AC79</f>
        <v>0.8835464833247576</v>
      </c>
      <c r="AD95" s="20">
        <v>1</v>
      </c>
      <c r="AE95" s="80"/>
      <c r="AF95" s="94">
        <v>0</v>
      </c>
      <c r="AG95" s="94">
        <f>AG94</f>
        <v>1.09069964649039</v>
      </c>
      <c r="AH95" s="80"/>
      <c r="AI95" s="80"/>
    </row>
    <row r="96" spans="1:35" s="5" customFormat="1" ht="12.75" x14ac:dyDescent="0.2">
      <c r="A96" s="52"/>
      <c r="B96" s="90"/>
      <c r="C96" s="115"/>
      <c r="D96" s="82"/>
      <c r="E96" s="52"/>
      <c r="F96" s="52"/>
      <c r="G96" s="52"/>
      <c r="H96" s="52"/>
      <c r="I96" s="52"/>
      <c r="J96" s="52"/>
      <c r="K96" s="52"/>
      <c r="L96" s="7"/>
      <c r="M96" s="42"/>
      <c r="N96" s="42"/>
      <c r="O96" s="42"/>
      <c r="P96" s="42"/>
      <c r="Q96" s="42"/>
      <c r="R96" s="42"/>
      <c r="S96" s="42"/>
      <c r="T96" s="42"/>
      <c r="U96" s="7"/>
      <c r="V96" s="55"/>
      <c r="W96" s="55">
        <v>45</v>
      </c>
      <c r="X96" s="111">
        <f xml:space="preserve"> X78*W96^X79</f>
        <v>1.2089268499329702</v>
      </c>
      <c r="Y96" s="111">
        <f xml:space="preserve"> Y78*W96^Y79</f>
        <v>1.1327975631508758</v>
      </c>
      <c r="Z96" s="111">
        <f xml:space="preserve"> Z78*W96^Z79</f>
        <v>1.0741267730275237</v>
      </c>
      <c r="AA96" s="111">
        <f xml:space="preserve"> AA78*W96^AA79</f>
        <v>0.99740343209698634</v>
      </c>
      <c r="AB96" s="111">
        <f xml:space="preserve"> AB78*W96^AB79</f>
        <v>0.93873264197363415</v>
      </c>
      <c r="AC96" s="111">
        <f xml:space="preserve"> AC78*W96^AC79</f>
        <v>0.8665224387448931</v>
      </c>
      <c r="AD96" s="20">
        <v>1</v>
      </c>
      <c r="AE96" s="80"/>
      <c r="AF96" s="94"/>
      <c r="AG96" s="94"/>
      <c r="AH96" s="80"/>
      <c r="AI96" s="80"/>
    </row>
    <row r="97" spans="1:35" s="5" customFormat="1" ht="12.75" x14ac:dyDescent="0.2">
      <c r="A97" s="52"/>
      <c r="B97" s="54"/>
      <c r="C97" s="72"/>
      <c r="D97" s="52"/>
      <c r="E97" s="52"/>
      <c r="F97" s="52"/>
      <c r="G97" s="52"/>
      <c r="H97" s="52"/>
      <c r="I97" s="52"/>
      <c r="J97" s="87"/>
      <c r="K97" s="52"/>
      <c r="L97" s="7"/>
      <c r="M97" s="42"/>
      <c r="N97" s="42"/>
      <c r="O97" s="42"/>
      <c r="P97" s="42"/>
      <c r="Q97" s="42"/>
      <c r="R97" s="42"/>
      <c r="S97" s="42"/>
      <c r="T97" s="42"/>
      <c r="U97" s="7"/>
      <c r="V97" s="55"/>
      <c r="W97" s="55">
        <v>49</v>
      </c>
      <c r="X97" s="111">
        <f xml:space="preserve"> X78*W97^X79</f>
        <v>1.1874996063668501</v>
      </c>
      <c r="Y97" s="111">
        <f xml:space="preserve"> Y78*W97^Y79</f>
        <v>1.1128144099758284</v>
      </c>
      <c r="Z97" s="111">
        <f xml:space="preserve"> Z78*W97^Z79</f>
        <v>1.0551786038814628</v>
      </c>
      <c r="AA97" s="111">
        <f xml:space="preserve"> AA78*W97^AA79</f>
        <v>0.97980870360421557</v>
      </c>
      <c r="AB97" s="111">
        <f xml:space="preserve"> AB78*W97^AB79</f>
        <v>0.92217289750984999</v>
      </c>
      <c r="AC97" s="111">
        <f xml:space="preserve"> AC78*W97^AC79</f>
        <v>0.85123652077832301</v>
      </c>
      <c r="AD97" s="20">
        <v>1</v>
      </c>
      <c r="AF97" s="94">
        <f>AE90</f>
        <v>32.791878172588831</v>
      </c>
      <c r="AG97" s="94">
        <v>0</v>
      </c>
    </row>
    <row r="98" spans="1:35" s="5" customFormat="1" ht="12.75" x14ac:dyDescent="0.2">
      <c r="A98" s="54"/>
      <c r="B98" s="81"/>
      <c r="C98" s="52"/>
      <c r="D98" s="52"/>
      <c r="E98" s="52"/>
      <c r="F98" s="54"/>
      <c r="G98" s="81"/>
      <c r="H98" s="52"/>
      <c r="I98" s="52"/>
      <c r="J98" s="52"/>
      <c r="K98" s="52"/>
      <c r="L98" s="7"/>
      <c r="M98" s="42"/>
      <c r="N98" s="42"/>
      <c r="O98" s="42"/>
      <c r="P98" s="42"/>
      <c r="Q98" s="42"/>
      <c r="R98" s="42"/>
      <c r="S98" s="42"/>
      <c r="T98" s="42"/>
      <c r="U98" s="7"/>
      <c r="V98" s="55"/>
      <c r="W98" s="55">
        <v>53</v>
      </c>
      <c r="X98" s="111">
        <f xml:space="preserve"> X78*W98^X79</f>
        <v>1.1680911096525677</v>
      </c>
      <c r="Y98" s="111">
        <f xml:space="preserve"> Y78*W98^Y79</f>
        <v>1.0947124687947876</v>
      </c>
      <c r="Z98" s="111">
        <f xml:space="preserve"> Z78*W98^Z79</f>
        <v>1.0380142134388821</v>
      </c>
      <c r="AA98" s="111">
        <f xml:space="preserve"> AA78*W98^AA79</f>
        <v>0.9638703410503906</v>
      </c>
      <c r="AB98" s="111">
        <f xml:space="preserve"> AB78*W98^AB79</f>
        <v>0.90717208569448538</v>
      </c>
      <c r="AC98" s="111">
        <f xml:space="preserve"> AC78*W98^AC79</f>
        <v>0.83738961756414021</v>
      </c>
      <c r="AD98" s="20">
        <v>1</v>
      </c>
      <c r="AF98" s="94">
        <f>AF97</f>
        <v>32.791878172588831</v>
      </c>
      <c r="AG98" s="94">
        <f>AF91</f>
        <v>1.1822540477800167</v>
      </c>
      <c r="AI98" s="68"/>
    </row>
    <row r="99" spans="1:35" s="5" customFormat="1" ht="12.75" x14ac:dyDescent="0.2">
      <c r="A99" s="52"/>
      <c r="B99" s="116"/>
      <c r="C99" s="115"/>
      <c r="D99" s="82"/>
      <c r="E99" s="71"/>
      <c r="F99" s="52"/>
      <c r="G99" s="92"/>
      <c r="H99" s="52"/>
      <c r="I99" s="52"/>
      <c r="J99" s="52"/>
      <c r="K99" s="52"/>
      <c r="L99" s="7"/>
      <c r="M99" s="42"/>
      <c r="N99" s="42"/>
      <c r="O99" s="42"/>
      <c r="P99" s="42"/>
      <c r="Q99" s="42"/>
      <c r="R99" s="42"/>
      <c r="S99" s="42"/>
      <c r="T99" s="42"/>
      <c r="U99" s="7"/>
      <c r="V99" s="55"/>
      <c r="W99" s="55">
        <v>60</v>
      </c>
      <c r="X99" s="111">
        <f xml:space="preserve"> X78*W99^X79</f>
        <v>1.1380540497724598</v>
      </c>
      <c r="Y99" s="111">
        <f xml:space="preserve"> Y78*W99^Y79</f>
        <v>1.066694633435104</v>
      </c>
      <c r="Z99" s="111">
        <f xml:space="preserve"> Z78*W99^Z79</f>
        <v>1.0114475010261146</v>
      </c>
      <c r="AA99" s="111">
        <f xml:space="preserve"> AA78*W99^AA79</f>
        <v>0.93920125095282081</v>
      </c>
      <c r="AB99" s="111">
        <f xml:space="preserve"> AB78*W99^AB79</f>
        <v>0.88395411854383132</v>
      </c>
      <c r="AC99" s="111">
        <f xml:space="preserve"> AC78*W99^AC79</f>
        <v>0.81595764788661351</v>
      </c>
      <c r="AD99" s="20">
        <v>1</v>
      </c>
      <c r="AF99" s="94">
        <v>0</v>
      </c>
      <c r="AG99" s="94">
        <f>AG98</f>
        <v>1.1822540477800167</v>
      </c>
      <c r="AI99" s="68"/>
    </row>
    <row r="100" spans="1:35" s="5" customFormat="1" ht="12.75" x14ac:dyDescent="0.2">
      <c r="A100" s="52"/>
      <c r="B100" s="54"/>
      <c r="C100" s="115"/>
      <c r="D100" s="52"/>
      <c r="E100" s="52"/>
      <c r="F100" s="52"/>
      <c r="G100" s="52"/>
      <c r="H100" s="52"/>
      <c r="I100" s="52"/>
      <c r="J100" s="52"/>
      <c r="K100" s="52"/>
      <c r="L100" s="7"/>
      <c r="M100" s="42"/>
      <c r="N100" s="42"/>
      <c r="O100" s="42"/>
      <c r="P100" s="42"/>
      <c r="Q100" s="42"/>
      <c r="R100" s="42"/>
      <c r="S100" s="42"/>
      <c r="T100" s="42"/>
      <c r="U100" s="7"/>
      <c r="V100" s="55"/>
      <c r="W100" s="55">
        <v>67</v>
      </c>
      <c r="X100" s="111">
        <f xml:space="preserve"> X78*W100^X79</f>
        <v>1.111985034970159</v>
      </c>
      <c r="Y100" s="111">
        <f xml:space="preserve"> Y78*W100^Y79</f>
        <v>1.0423752421082668</v>
      </c>
      <c r="Z100" s="111">
        <f xml:space="preserve"> Z78*W100^Z79</f>
        <v>0.98838767976799802</v>
      </c>
      <c r="AA100" s="111">
        <f xml:space="preserve"> AA78*W100^AA79</f>
        <v>0.91778855978456964</v>
      </c>
      <c r="AB100" s="111">
        <f xml:space="preserve"> AB78*W100^AB79</f>
        <v>0.86380099744430083</v>
      </c>
      <c r="AC100" s="111">
        <f xml:space="preserve"> AC78*W100^AC79</f>
        <v>0.79735476687166229</v>
      </c>
      <c r="AD100" s="20">
        <v>1</v>
      </c>
      <c r="AI100" s="68"/>
    </row>
    <row r="101" spans="1:35" s="5" customFormat="1" ht="12.75" x14ac:dyDescent="0.2">
      <c r="A101" s="54"/>
      <c r="B101" s="54"/>
      <c r="C101" s="85"/>
      <c r="D101" s="52"/>
      <c r="E101" s="52"/>
      <c r="F101" s="54"/>
      <c r="G101" s="81"/>
      <c r="H101" s="52"/>
      <c r="I101" s="52"/>
      <c r="J101" s="52"/>
      <c r="K101" s="52"/>
      <c r="L101" s="7"/>
      <c r="M101" s="42"/>
      <c r="N101" s="42"/>
      <c r="O101" s="42"/>
      <c r="P101" s="42"/>
      <c r="Q101" s="42"/>
      <c r="R101" s="42"/>
      <c r="S101" s="42"/>
      <c r="T101" s="42"/>
      <c r="U101" s="7"/>
      <c r="V101" s="55"/>
      <c r="W101" s="55">
        <v>74</v>
      </c>
      <c r="X101" s="111">
        <f xml:space="preserve"> X78*W101^X79</f>
        <v>1.0890203367482558</v>
      </c>
      <c r="Y101" s="111">
        <f xml:space="preserve"> Y78*W101^Y79</f>
        <v>1.0209495735259089</v>
      </c>
      <c r="Z101" s="111">
        <f xml:space="preserve"> Z78*W101^Z79</f>
        <v>0.96807170716799329</v>
      </c>
      <c r="AA101" s="111">
        <f xml:space="preserve"> AA78*W101^AA79</f>
        <v>0.89892372808456522</v>
      </c>
      <c r="AB101" s="111">
        <f xml:space="preserve"> AB78*W101^AB79</f>
        <v>0.84604586172664964</v>
      </c>
      <c r="AC101" s="111">
        <f xml:space="preserve"> AC78*W101^AC79</f>
        <v>0.78096541082459969</v>
      </c>
      <c r="AD101" s="20">
        <v>1</v>
      </c>
      <c r="AI101" s="68"/>
    </row>
    <row r="102" spans="1:35" s="5" customFormat="1" ht="12.75" x14ac:dyDescent="0.2">
      <c r="A102" s="52"/>
      <c r="B102" s="5" t="s">
        <v>90</v>
      </c>
      <c r="C102" s="85"/>
      <c r="D102" s="82"/>
      <c r="E102" s="87"/>
      <c r="F102" s="52"/>
      <c r="G102" s="85"/>
      <c r="H102" s="52"/>
      <c r="I102" s="91"/>
      <c r="J102" s="52"/>
      <c r="K102" s="52"/>
      <c r="L102" s="7"/>
      <c r="M102" s="42"/>
      <c r="N102" s="42"/>
      <c r="O102" s="42"/>
      <c r="P102" s="42"/>
      <c r="Q102" s="42"/>
      <c r="R102" s="42"/>
      <c r="S102" s="42"/>
      <c r="T102" s="42"/>
      <c r="U102" s="7"/>
      <c r="V102" s="55"/>
      <c r="W102" s="55">
        <v>85</v>
      </c>
      <c r="X102" s="111">
        <f xml:space="preserve"> X78*W102^X79</f>
        <v>1.0577832282237565</v>
      </c>
      <c r="Y102" s="111">
        <f xml:space="preserve"> Y78*W102^Y79</f>
        <v>0.99180242541447805</v>
      </c>
      <c r="Z102" s="111">
        <f xml:space="preserve"> Z78*W102^Z79</f>
        <v>0.94043417230536175</v>
      </c>
      <c r="AA102" s="111">
        <f xml:space="preserve"> AA78*W102^AA79</f>
        <v>0.8732603028549788</v>
      </c>
      <c r="AB102" s="111">
        <f xml:space="preserve"> AB78*W102^AB79</f>
        <v>0.82189204974586239</v>
      </c>
      <c r="AC102" s="111">
        <f xml:space="preserve"> AC78*W102^AC79</f>
        <v>0.75866958438079601</v>
      </c>
      <c r="AD102" s="20">
        <v>1</v>
      </c>
    </row>
    <row r="103" spans="1:35" s="5" customFormat="1" ht="12.75" x14ac:dyDescent="0.2">
      <c r="A103" s="52"/>
      <c r="B103" s="86" t="s">
        <v>96</v>
      </c>
      <c r="C103" s="88">
        <f>AF85</f>
        <v>1.09069964649039</v>
      </c>
      <c r="D103" s="52"/>
      <c r="E103" s="52"/>
      <c r="F103" s="52"/>
      <c r="G103" s="52"/>
      <c r="H103" s="52"/>
      <c r="I103" s="52"/>
      <c r="J103" s="52"/>
      <c r="K103" s="52"/>
      <c r="L103" s="7"/>
      <c r="M103" s="42"/>
      <c r="N103" s="42"/>
      <c r="O103" s="42"/>
      <c r="P103" s="42"/>
      <c r="Q103" s="42"/>
      <c r="R103" s="42"/>
      <c r="S103" s="42"/>
      <c r="T103" s="42"/>
      <c r="U103" s="7"/>
      <c r="V103" s="55"/>
      <c r="W103" s="55">
        <v>95</v>
      </c>
      <c r="X103" s="111">
        <f xml:space="preserve"> X78*W103^X79</f>
        <v>1.0333624923345925</v>
      </c>
      <c r="Y103" s="111">
        <f xml:space="preserve"> Y78*W103^Y79</f>
        <v>0.96901274232772328</v>
      </c>
      <c r="Z103" s="111">
        <f xml:space="preserve"> Z78*W103^Z79</f>
        <v>0.91882483137051052</v>
      </c>
      <c r="AA103" s="111">
        <f xml:space="preserve"> AA78*W103^AA79</f>
        <v>0.85319448627261696</v>
      </c>
      <c r="AB103" s="111">
        <f xml:space="preserve"> AB78*W103^AB79</f>
        <v>0.8030065753154042</v>
      </c>
      <c r="AC103" s="111">
        <f xml:space="preserve"> AC78*W103^AC79</f>
        <v>0.74123683875268076</v>
      </c>
      <c r="AD103" s="20">
        <v>1</v>
      </c>
      <c r="AH103" s="68"/>
    </row>
    <row r="104" spans="1:35" s="5" customFormat="1" ht="12.75" x14ac:dyDescent="0.2">
      <c r="A104" s="52"/>
      <c r="B104" s="54"/>
      <c r="C104" s="117"/>
      <c r="D104" s="52"/>
      <c r="E104" s="52"/>
      <c r="F104" s="73"/>
      <c r="G104" s="52"/>
      <c r="H104" s="52"/>
      <c r="I104" s="73"/>
      <c r="J104" s="52"/>
      <c r="K104" s="52"/>
      <c r="L104" s="7"/>
      <c r="M104" s="42"/>
      <c r="N104" s="42"/>
      <c r="O104" s="42"/>
      <c r="P104" s="42"/>
      <c r="Q104" s="42"/>
      <c r="R104" s="42"/>
      <c r="S104" s="42"/>
      <c r="T104" s="42"/>
      <c r="U104" s="7"/>
      <c r="V104" s="55"/>
      <c r="W104" s="55">
        <v>105</v>
      </c>
      <c r="X104" s="111">
        <f xml:space="preserve"> X78*W104^X79</f>
        <v>1.0118704152719968</v>
      </c>
      <c r="Y104" s="111">
        <f xml:space="preserve"> Y78*W104^Y79</f>
        <v>0.94895399391118629</v>
      </c>
      <c r="Z104" s="111">
        <f xml:space="preserve"> Z78*W104^Z79</f>
        <v>0.89980498227435191</v>
      </c>
      <c r="AA104" s="111">
        <f xml:space="preserve"> AA78*W104^AA79</f>
        <v>0.83553319782618396</v>
      </c>
      <c r="AB104" s="111">
        <f xml:space="preserve"> AB78*W104^AB79</f>
        <v>0.78638418618934969</v>
      </c>
      <c r="AC104" s="111">
        <f xml:space="preserve"> AC78*W104^AC79</f>
        <v>0.72589309494401499</v>
      </c>
      <c r="AD104" s="20">
        <v>1</v>
      </c>
    </row>
    <row r="105" spans="1:35" s="5" customFormat="1" ht="12.75" x14ac:dyDescent="0.2">
      <c r="A105" s="52"/>
      <c r="B105" s="71" t="s">
        <v>94</v>
      </c>
      <c r="C105" s="118"/>
      <c r="D105" s="52"/>
      <c r="E105" s="53"/>
      <c r="F105" s="73"/>
      <c r="G105" s="52"/>
      <c r="H105" s="52"/>
      <c r="I105" s="73"/>
      <c r="J105" s="52"/>
      <c r="K105" s="52"/>
      <c r="L105" s="7"/>
      <c r="M105" s="42"/>
      <c r="N105" s="42"/>
      <c r="O105" s="42"/>
      <c r="P105" s="42"/>
      <c r="Q105" s="42"/>
      <c r="R105" s="42"/>
      <c r="S105" s="42"/>
      <c r="T105" s="42"/>
      <c r="U105" s="7"/>
      <c r="V105" s="55"/>
      <c r="W105" s="55"/>
      <c r="X105" s="7"/>
      <c r="Y105" s="70"/>
      <c r="Z105" s="70"/>
      <c r="AA105" s="70"/>
      <c r="AB105" s="70"/>
      <c r="AC105" s="70"/>
    </row>
    <row r="106" spans="1:35" s="5" customFormat="1" ht="12.75" x14ac:dyDescent="0.2">
      <c r="A106" s="52"/>
      <c r="B106" s="86" t="s">
        <v>96</v>
      </c>
      <c r="C106" s="88">
        <f>AF91</f>
        <v>1.1822540477800167</v>
      </c>
      <c r="D106" s="73"/>
      <c r="E106" s="53"/>
      <c r="F106" s="73"/>
      <c r="G106" s="52"/>
      <c r="H106" s="52"/>
      <c r="I106" s="73"/>
      <c r="J106" s="52"/>
      <c r="K106" s="52"/>
      <c r="L106" s="7"/>
      <c r="M106" s="42"/>
      <c r="N106" s="42"/>
      <c r="O106" s="42"/>
      <c r="P106" s="42"/>
      <c r="Q106" s="42"/>
      <c r="R106" s="42"/>
      <c r="S106" s="42"/>
      <c r="T106" s="42"/>
      <c r="U106" s="7"/>
      <c r="V106" s="55"/>
      <c r="W106" s="55"/>
      <c r="X106" s="7"/>
      <c r="Y106" s="70"/>
      <c r="Z106" s="20"/>
      <c r="AA106" s="80"/>
    </row>
    <row r="107" spans="1:35" s="5" customFormat="1" ht="12.75" x14ac:dyDescent="0.2">
      <c r="A107" s="52"/>
      <c r="B107" s="119"/>
      <c r="C107" s="73"/>
      <c r="D107" s="73"/>
      <c r="E107" s="53"/>
      <c r="F107" s="73"/>
      <c r="G107" s="52"/>
      <c r="H107" s="52"/>
      <c r="I107" s="73"/>
      <c r="J107" s="52"/>
      <c r="K107" s="52"/>
      <c r="L107" s="7"/>
      <c r="M107" s="42"/>
      <c r="N107" s="42"/>
      <c r="O107" s="42"/>
      <c r="P107" s="42"/>
      <c r="Q107" s="42"/>
      <c r="R107" s="42"/>
      <c r="S107" s="42"/>
      <c r="T107" s="42"/>
      <c r="U107" s="7"/>
      <c r="V107" s="55"/>
      <c r="W107" s="55"/>
      <c r="X107" s="7"/>
      <c r="Y107" s="20"/>
      <c r="Z107" s="68"/>
      <c r="AA107" s="89"/>
      <c r="AB107" s="68"/>
    </row>
    <row r="108" spans="1:35" s="5" customFormat="1" ht="12.75" x14ac:dyDescent="0.2">
      <c r="A108" s="52"/>
      <c r="B108" s="73"/>
      <c r="C108" s="73"/>
      <c r="D108" s="53"/>
      <c r="E108" s="73"/>
      <c r="F108" s="52"/>
      <c r="G108" s="52"/>
      <c r="H108" s="73"/>
      <c r="I108" s="52"/>
      <c r="J108" s="52"/>
      <c r="K108" s="52"/>
      <c r="L108" s="7"/>
      <c r="M108" s="42"/>
      <c r="N108" s="42"/>
      <c r="O108" s="42"/>
      <c r="P108" s="42"/>
      <c r="Q108" s="42"/>
      <c r="R108" s="42"/>
      <c r="S108" s="42"/>
      <c r="T108" s="42"/>
      <c r="U108" s="7"/>
      <c r="V108" s="55"/>
      <c r="W108" s="55"/>
      <c r="X108" s="7"/>
      <c r="Y108" s="20"/>
      <c r="AA108" s="80"/>
    </row>
    <row r="109" spans="1:35" s="5" customFormat="1" ht="12.75" x14ac:dyDescent="0.2">
      <c r="B109" s="5" t="s">
        <v>90</v>
      </c>
      <c r="C109" s="85"/>
      <c r="D109" s="82"/>
      <c r="E109" s="56"/>
      <c r="F109" s="56"/>
      <c r="H109" s="56"/>
      <c r="I109" s="56"/>
      <c r="L109" s="7"/>
      <c r="M109" s="42"/>
      <c r="N109" s="42"/>
      <c r="O109" s="42"/>
      <c r="P109" s="42"/>
      <c r="Q109" s="42"/>
      <c r="R109" s="42"/>
      <c r="S109" s="42"/>
      <c r="T109" s="42"/>
      <c r="U109" s="7"/>
      <c r="V109" s="55"/>
      <c r="W109" s="55"/>
      <c r="X109" s="7"/>
    </row>
    <row r="110" spans="1:35" s="5" customFormat="1" ht="12.75" x14ac:dyDescent="0.2">
      <c r="B110" s="86" t="s">
        <v>67</v>
      </c>
      <c r="C110" s="88">
        <f>C103*C35</f>
        <v>4.1446586566634815</v>
      </c>
      <c r="D110" s="52"/>
      <c r="E110" s="94"/>
      <c r="F110" s="55"/>
      <c r="H110" s="94"/>
      <c r="I110" s="55"/>
      <c r="J110" s="62"/>
      <c r="K110" s="62"/>
      <c r="L110" s="7"/>
      <c r="M110" s="42"/>
      <c r="N110" s="42"/>
      <c r="O110" s="42"/>
      <c r="P110" s="42"/>
      <c r="Q110" s="42"/>
      <c r="R110" s="42"/>
      <c r="S110" s="42"/>
      <c r="T110" s="42"/>
      <c r="U110" s="7"/>
      <c r="V110" s="55"/>
      <c r="W110" s="55"/>
      <c r="X110" s="7"/>
    </row>
    <row r="111" spans="1:35" s="5" customFormat="1" ht="12.75" x14ac:dyDescent="0.2">
      <c r="B111" s="54"/>
      <c r="C111" s="117"/>
      <c r="D111" s="52"/>
      <c r="E111" s="94"/>
      <c r="F111" s="55"/>
      <c r="H111" s="94"/>
      <c r="I111" s="55"/>
      <c r="J111" s="62"/>
      <c r="K111" s="62"/>
      <c r="L111" s="7"/>
      <c r="M111" s="42"/>
      <c r="N111" s="42"/>
      <c r="O111" s="42"/>
      <c r="P111" s="42"/>
      <c r="Q111" s="42"/>
      <c r="R111" s="42"/>
      <c r="S111" s="42"/>
      <c r="T111" s="42"/>
      <c r="U111" s="7"/>
      <c r="V111" s="55"/>
      <c r="W111" s="55"/>
      <c r="X111" s="7"/>
    </row>
    <row r="112" spans="1:35" s="5" customFormat="1" ht="12.75" x14ac:dyDescent="0.2">
      <c r="B112" s="71" t="s">
        <v>94</v>
      </c>
      <c r="C112" s="118"/>
      <c r="D112" s="52"/>
      <c r="E112" s="94"/>
      <c r="F112" s="55"/>
      <c r="H112" s="94"/>
      <c r="I112" s="55"/>
      <c r="J112" s="62"/>
      <c r="K112" s="62"/>
      <c r="L112" s="7"/>
      <c r="M112" s="42"/>
      <c r="N112" s="42"/>
      <c r="O112" s="42"/>
      <c r="P112" s="42"/>
      <c r="Q112" s="42"/>
      <c r="R112" s="42"/>
      <c r="S112" s="42"/>
      <c r="T112" s="42"/>
      <c r="U112" s="7"/>
      <c r="V112" s="95"/>
      <c r="W112" s="55"/>
      <c r="X112" s="7"/>
    </row>
    <row r="113" spans="1:24" s="5" customFormat="1" ht="12.75" x14ac:dyDescent="0.2">
      <c r="B113" s="86" t="s">
        <v>67</v>
      </c>
      <c r="C113" s="88">
        <f>C106*C35</f>
        <v>4.4925653815640638</v>
      </c>
      <c r="D113" s="73"/>
      <c r="E113" s="94"/>
      <c r="F113" s="55"/>
      <c r="H113" s="94"/>
      <c r="I113" s="55"/>
      <c r="J113" s="62"/>
      <c r="K113" s="62"/>
      <c r="L113" s="7"/>
      <c r="M113" s="42"/>
      <c r="N113" s="42"/>
      <c r="O113" s="42"/>
      <c r="P113" s="42"/>
      <c r="Q113" s="42"/>
      <c r="R113" s="42"/>
      <c r="S113" s="42"/>
      <c r="T113" s="42"/>
      <c r="U113" s="7"/>
      <c r="X113" s="7"/>
    </row>
    <row r="114" spans="1:24" s="5" customFormat="1" ht="12.75" x14ac:dyDescent="0.2">
      <c r="A114" s="96"/>
      <c r="B114" s="20"/>
      <c r="C114" s="97"/>
      <c r="D114" s="96"/>
      <c r="E114" s="96"/>
      <c r="F114" s="96"/>
      <c r="G114" s="97"/>
      <c r="H114" s="96"/>
      <c r="I114" s="96"/>
      <c r="J114" s="96"/>
      <c r="K114" s="96"/>
      <c r="L114" s="7"/>
      <c r="M114" s="42"/>
      <c r="N114" s="42"/>
      <c r="O114" s="42"/>
      <c r="P114" s="42"/>
      <c r="Q114" s="42"/>
      <c r="R114" s="42"/>
      <c r="S114" s="42"/>
      <c r="T114" s="42"/>
      <c r="U114" s="7"/>
      <c r="V114" s="7"/>
      <c r="W114" s="7"/>
      <c r="X114" s="7"/>
    </row>
    <row r="115" spans="1:24" s="5" customFormat="1" ht="12.75" x14ac:dyDescent="0.2">
      <c r="A115" s="96"/>
      <c r="B115" s="20"/>
      <c r="C115" s="97"/>
      <c r="D115" s="96"/>
      <c r="E115" s="96"/>
      <c r="F115" s="96"/>
      <c r="G115" s="97"/>
      <c r="H115" s="96"/>
      <c r="I115" s="96"/>
      <c r="J115" s="96"/>
      <c r="K115" s="96"/>
      <c r="L115" s="7"/>
      <c r="M115" s="42"/>
      <c r="N115" s="42"/>
      <c r="O115" s="42"/>
      <c r="P115" s="42"/>
      <c r="Q115" s="42"/>
      <c r="R115" s="42"/>
      <c r="S115" s="42"/>
      <c r="T115" s="42"/>
      <c r="U115" s="7"/>
      <c r="V115" s="7"/>
      <c r="W115" s="7"/>
      <c r="X115" s="7"/>
    </row>
    <row r="116" spans="1:24" s="5" customFormat="1" ht="12.75" x14ac:dyDescent="0.2">
      <c r="A116" s="96"/>
      <c r="B116" s="20"/>
      <c r="C116" s="97"/>
      <c r="D116" s="96"/>
      <c r="E116" s="96"/>
      <c r="F116" s="96"/>
      <c r="G116" s="97"/>
      <c r="H116" s="96"/>
      <c r="I116" s="96"/>
      <c r="J116" s="96"/>
      <c r="K116" s="96"/>
      <c r="L116" s="7"/>
      <c r="M116" s="42"/>
      <c r="N116" s="42"/>
      <c r="O116" s="42"/>
      <c r="P116" s="42"/>
      <c r="Q116" s="42"/>
      <c r="R116" s="42"/>
      <c r="S116" s="42"/>
      <c r="T116" s="42"/>
      <c r="U116" s="7"/>
      <c r="V116" s="7"/>
      <c r="W116" s="7"/>
      <c r="X116" s="7"/>
    </row>
    <row r="117" spans="1:24" s="5" customFormat="1" ht="12.75" x14ac:dyDescent="0.2">
      <c r="A117" s="96"/>
      <c r="B117" s="20"/>
      <c r="C117" s="97"/>
      <c r="D117" s="96"/>
      <c r="E117" s="96"/>
      <c r="F117" s="96"/>
      <c r="G117" s="97"/>
      <c r="H117" s="96"/>
      <c r="I117" s="96"/>
      <c r="J117" s="96"/>
      <c r="K117" s="96"/>
      <c r="L117" s="7"/>
      <c r="M117" s="42"/>
      <c r="N117" s="42"/>
      <c r="O117" s="42"/>
      <c r="P117" s="42"/>
      <c r="Q117" s="42"/>
      <c r="R117" s="42"/>
      <c r="S117" s="42"/>
      <c r="T117" s="42"/>
      <c r="U117" s="7"/>
      <c r="V117" s="7"/>
      <c r="W117" s="7"/>
      <c r="X117" s="7"/>
    </row>
    <row r="118" spans="1:24" s="5" customFormat="1" ht="12.75" x14ac:dyDescent="0.2">
      <c r="A118" s="96"/>
      <c r="B118" s="20"/>
      <c r="C118" s="97"/>
      <c r="D118" s="96"/>
      <c r="E118" s="96"/>
      <c r="F118" s="96"/>
      <c r="G118" s="97"/>
      <c r="H118" s="96"/>
      <c r="I118" s="96"/>
      <c r="J118" s="96"/>
      <c r="K118" s="96"/>
      <c r="L118" s="7"/>
      <c r="M118" s="42"/>
      <c r="N118" s="42"/>
      <c r="O118" s="42"/>
      <c r="P118" s="42"/>
      <c r="Q118" s="42"/>
      <c r="R118" s="42"/>
      <c r="S118" s="42"/>
      <c r="T118" s="42"/>
      <c r="U118" s="7"/>
      <c r="V118" s="7"/>
      <c r="W118" s="7"/>
      <c r="X118" s="7"/>
    </row>
    <row r="119" spans="1:24" s="5" customFormat="1" ht="12.75" x14ac:dyDescent="0.2">
      <c r="A119" s="96"/>
      <c r="B119" s="20"/>
      <c r="C119" s="97"/>
      <c r="D119" s="96"/>
      <c r="E119" s="96"/>
      <c r="F119" s="96"/>
      <c r="G119" s="97"/>
      <c r="H119" s="96"/>
      <c r="I119" s="96"/>
      <c r="J119" s="96"/>
      <c r="K119" s="96"/>
      <c r="L119" s="7"/>
      <c r="M119" s="42"/>
      <c r="N119" s="42"/>
      <c r="O119" s="42"/>
      <c r="P119" s="42"/>
      <c r="Q119" s="42"/>
      <c r="R119" s="42"/>
      <c r="S119" s="42"/>
      <c r="T119" s="42"/>
      <c r="U119" s="7"/>
      <c r="V119" s="7"/>
      <c r="W119" s="7"/>
      <c r="X119" s="7"/>
    </row>
    <row r="120" spans="1:24" s="5" customFormat="1" ht="12.75" x14ac:dyDescent="0.2">
      <c r="A120" s="98" t="s">
        <v>86</v>
      </c>
      <c r="B120" s="98"/>
      <c r="C120" s="98"/>
      <c r="D120" s="98"/>
      <c r="E120" s="98"/>
      <c r="F120" s="98"/>
      <c r="G120" s="99"/>
      <c r="H120" s="99"/>
      <c r="I120" s="99"/>
      <c r="J120" s="99"/>
      <c r="K120" s="100"/>
      <c r="L120" s="7"/>
      <c r="M120" s="42"/>
      <c r="N120" s="42"/>
      <c r="O120" s="42"/>
      <c r="P120" s="42"/>
      <c r="Q120" s="42"/>
      <c r="R120" s="42"/>
      <c r="S120" s="42"/>
      <c r="T120" s="42"/>
      <c r="U120" s="7"/>
      <c r="V120" s="7"/>
      <c r="W120" s="7"/>
      <c r="X120" s="7"/>
    </row>
    <row r="121" spans="1:24" s="5" customFormat="1" ht="12.75" x14ac:dyDescent="0.2">
      <c r="A121" s="101"/>
      <c r="B121" s="101"/>
      <c r="C121" s="101"/>
      <c r="D121" s="102"/>
      <c r="E121" s="102"/>
      <c r="F121" s="103" t="s">
        <v>87</v>
      </c>
      <c r="G121" s="104" t="s">
        <v>88</v>
      </c>
      <c r="H121" s="105"/>
      <c r="I121" s="106"/>
      <c r="J121" s="106"/>
      <c r="K121" s="107"/>
      <c r="L121" s="7"/>
      <c r="M121" s="42"/>
      <c r="N121" s="42"/>
      <c r="O121" s="42"/>
      <c r="P121" s="42"/>
      <c r="Q121" s="42"/>
      <c r="R121" s="42"/>
      <c r="S121" s="42"/>
      <c r="T121" s="42"/>
      <c r="U121" s="7"/>
      <c r="V121" s="7"/>
      <c r="W121" s="7"/>
      <c r="X121" s="7"/>
    </row>
    <row r="122" spans="1:24" s="5" customFormat="1" ht="12.75" x14ac:dyDescent="0.2">
      <c r="A122" s="14"/>
      <c r="E122" s="15" t="s">
        <v>0</v>
      </c>
      <c r="F122" s="16" t="str">
        <f>$C$1</f>
        <v>R. Abbott</v>
      </c>
      <c r="H122" s="17"/>
      <c r="I122" s="15" t="s">
        <v>46</v>
      </c>
      <c r="J122" s="18" t="str">
        <f>$G$2</f>
        <v>AA-SM-515-001</v>
      </c>
      <c r="K122" s="19"/>
      <c r="L122" s="20"/>
      <c r="M122" s="42"/>
      <c r="N122" s="42"/>
      <c r="O122" s="42"/>
      <c r="P122" s="42"/>
      <c r="Q122" s="45"/>
      <c r="R122" s="46"/>
      <c r="S122" s="47"/>
      <c r="T122" s="44"/>
    </row>
    <row r="123" spans="1:24" s="5" customFormat="1" ht="12.75" x14ac:dyDescent="0.2">
      <c r="E123" s="15" t="s">
        <v>3</v>
      </c>
      <c r="F123" s="17" t="str">
        <f>$C$2</f>
        <v xml:space="preserve"> </v>
      </c>
      <c r="H123" s="17"/>
      <c r="I123" s="15" t="s">
        <v>47</v>
      </c>
      <c r="J123" s="19" t="str">
        <f>$G$3</f>
        <v>IR</v>
      </c>
      <c r="K123" s="19"/>
      <c r="L123" s="20"/>
      <c r="M123" s="42">
        <v>1</v>
      </c>
      <c r="N123" s="42"/>
      <c r="O123" s="42"/>
      <c r="P123" s="42"/>
      <c r="Q123" s="45"/>
      <c r="R123" s="46"/>
      <c r="S123" s="47"/>
      <c r="T123" s="44"/>
    </row>
    <row r="124" spans="1:24" s="5" customFormat="1" ht="12.75" x14ac:dyDescent="0.2">
      <c r="E124" s="15" t="s">
        <v>6</v>
      </c>
      <c r="F124" s="17" t="str">
        <f>$C$3</f>
        <v>05/03/2017</v>
      </c>
      <c r="H124" s="17"/>
      <c r="I124" s="15" t="s">
        <v>48</v>
      </c>
      <c r="J124" s="16" t="str">
        <f>L124&amp;" of "&amp;$G$1</f>
        <v>3 of 6</v>
      </c>
      <c r="K124" s="17"/>
      <c r="L124" s="20">
        <f>SUM($M$1:M123)</f>
        <v>3</v>
      </c>
      <c r="M124" s="42"/>
      <c r="N124" s="42"/>
      <c r="O124" s="42"/>
      <c r="P124" s="42"/>
      <c r="Q124" s="45"/>
      <c r="R124" s="46"/>
      <c r="S124" s="47"/>
      <c r="T124" s="44"/>
    </row>
    <row r="125" spans="1:24" s="5" customFormat="1" ht="12.75" x14ac:dyDescent="0.2">
      <c r="E125" s="15" t="s">
        <v>49</v>
      </c>
      <c r="F125" s="17" t="str">
        <f>$C$5</f>
        <v>STANDARD SPREADSHEET METHOD</v>
      </c>
      <c r="I125" s="21"/>
      <c r="J125" s="16"/>
      <c r="M125" s="42"/>
      <c r="N125" s="42"/>
      <c r="O125" s="42"/>
      <c r="P125" s="42"/>
      <c r="Q125" s="42"/>
      <c r="R125" s="42"/>
      <c r="S125" s="43"/>
      <c r="T125" s="44"/>
    </row>
    <row r="126" spans="1:24" s="5" customFormat="1" x14ac:dyDescent="0.25">
      <c r="A126" s="48"/>
      <c r="B126" s="23" t="str">
        <f>$G$4</f>
        <v>SIMPLIFIED PART 23 AIRCRAFT LOADS - AIRCRAFT LOADS</v>
      </c>
      <c r="C126" s="49"/>
      <c r="D126" s="49"/>
      <c r="E126" s="50"/>
      <c r="F126" s="49"/>
      <c r="G126" s="49"/>
      <c r="H126" s="49"/>
      <c r="I126" s="49"/>
      <c r="J126" s="49"/>
      <c r="K126" s="49"/>
      <c r="L126" s="7"/>
      <c r="M126" s="44"/>
      <c r="N126" s="42"/>
      <c r="O126" s="42"/>
      <c r="P126" s="42"/>
      <c r="Q126" s="42"/>
      <c r="R126" s="44"/>
      <c r="S126" s="44"/>
      <c r="T126" s="51"/>
    </row>
    <row r="127" spans="1:24" s="5" customFormat="1" ht="12.75" x14ac:dyDescent="0.2">
      <c r="A127" s="52"/>
      <c r="B127" s="52" t="s">
        <v>50</v>
      </c>
      <c r="C127" s="52"/>
      <c r="D127" s="52"/>
      <c r="E127" s="52"/>
      <c r="F127" s="52"/>
      <c r="G127" s="52"/>
      <c r="H127" s="52"/>
      <c r="I127" s="52"/>
      <c r="J127" s="52"/>
      <c r="K127" s="52"/>
      <c r="L127" s="20"/>
      <c r="M127" s="42"/>
      <c r="N127" s="42"/>
      <c r="O127" s="42"/>
      <c r="P127" s="42"/>
      <c r="Q127" s="42"/>
      <c r="R127" s="42"/>
      <c r="S127" s="42"/>
      <c r="T127" s="42"/>
    </row>
    <row r="128" spans="1:24" s="5" customFormat="1" ht="12.75" x14ac:dyDescent="0.2">
      <c r="A128" s="52"/>
      <c r="B128" s="53" t="s">
        <v>89</v>
      </c>
      <c r="C128" s="52"/>
      <c r="D128" s="54"/>
      <c r="E128" s="52"/>
      <c r="F128" s="52"/>
      <c r="G128" s="52"/>
      <c r="H128" s="52"/>
      <c r="I128" s="52"/>
      <c r="J128" s="52"/>
      <c r="K128" s="52"/>
      <c r="M128" s="42"/>
      <c r="N128" s="42"/>
      <c r="O128" s="42"/>
      <c r="P128" s="42"/>
      <c r="Q128" s="42"/>
      <c r="R128" s="42"/>
      <c r="S128" s="42"/>
      <c r="T128" s="42"/>
    </row>
    <row r="129" spans="1:35" s="5" customFormat="1" ht="12.75" x14ac:dyDescent="0.2">
      <c r="A129" s="52"/>
      <c r="C129" s="52"/>
      <c r="D129" s="54"/>
      <c r="E129" s="52"/>
      <c r="F129" s="52"/>
      <c r="G129" s="52"/>
      <c r="H129" s="52"/>
      <c r="I129" s="52"/>
      <c r="J129" s="52"/>
      <c r="K129" s="52"/>
      <c r="M129" s="42"/>
      <c r="N129" s="42"/>
      <c r="O129" s="42"/>
      <c r="P129" s="42"/>
      <c r="Q129" s="42"/>
      <c r="R129" s="42"/>
      <c r="S129" s="42"/>
      <c r="T129" s="42"/>
      <c r="V129" s="55"/>
      <c r="W129" s="55"/>
      <c r="AC129" s="15"/>
    </row>
    <row r="130" spans="1:35" s="5" customFormat="1" ht="13.5" customHeight="1" x14ac:dyDescent="0.2">
      <c r="A130" s="52"/>
      <c r="B130" s="52"/>
      <c r="C130" s="52"/>
      <c r="D130" s="54"/>
      <c r="E130" s="52"/>
      <c r="F130" s="52"/>
      <c r="G130" s="52"/>
      <c r="H130" s="52"/>
      <c r="I130" s="52"/>
      <c r="J130" s="52"/>
      <c r="K130" s="52"/>
      <c r="L130" s="7"/>
      <c r="M130" s="42"/>
      <c r="N130" s="42"/>
      <c r="O130" s="42"/>
      <c r="P130" s="42"/>
      <c r="Q130" s="42"/>
      <c r="R130" s="42"/>
      <c r="S130" s="42"/>
      <c r="T130" s="42"/>
      <c r="U130" s="7"/>
      <c r="V130" s="55"/>
      <c r="W130" s="55"/>
      <c r="X130" s="7"/>
      <c r="Z130" s="20"/>
      <c r="AA130" s="56"/>
      <c r="AB130" s="56"/>
    </row>
    <row r="131" spans="1:35" s="5" customFormat="1" ht="12.75" x14ac:dyDescent="0.2">
      <c r="A131" s="52"/>
      <c r="B131" s="5" t="s">
        <v>90</v>
      </c>
      <c r="E131" s="54" t="s">
        <v>91</v>
      </c>
      <c r="F131" s="88">
        <f>J46</f>
        <v>1.3553216371475063</v>
      </c>
      <c r="G131" s="52"/>
      <c r="H131" s="52"/>
      <c r="I131" s="52"/>
      <c r="J131" s="52"/>
      <c r="K131" s="52"/>
      <c r="L131" s="7"/>
      <c r="M131" s="42"/>
      <c r="N131" s="42"/>
      <c r="O131" s="42"/>
      <c r="P131" s="42"/>
      <c r="Q131" s="42"/>
      <c r="R131" s="42"/>
      <c r="S131" s="42"/>
      <c r="T131" s="42"/>
      <c r="U131" s="7"/>
      <c r="V131" s="55"/>
      <c r="W131" s="55"/>
      <c r="X131" s="7"/>
      <c r="Z131" s="56"/>
      <c r="AA131" s="20"/>
      <c r="AB131" s="61"/>
    </row>
    <row r="132" spans="1:35" s="5" customFormat="1" ht="12.75" x14ac:dyDescent="0.2">
      <c r="A132" s="52"/>
      <c r="B132" s="54" t="s">
        <v>92</v>
      </c>
      <c r="C132" s="5" t="str">
        <f>[2]!xln(C133)</f>
        <v>3.8 × 12.7</v>
      </c>
      <c r="D132" s="52"/>
      <c r="E132" s="52"/>
      <c r="F132" s="52"/>
      <c r="G132" s="52"/>
      <c r="H132" s="52"/>
      <c r="I132" s="52"/>
      <c r="J132" s="52"/>
      <c r="K132" s="52"/>
      <c r="L132" s="7"/>
      <c r="M132" s="42"/>
      <c r="N132" s="42"/>
      <c r="O132" s="42"/>
      <c r="P132" s="42"/>
      <c r="Q132" s="42"/>
      <c r="R132" s="42"/>
      <c r="S132" s="42"/>
      <c r="T132" s="42"/>
      <c r="U132" s="7"/>
      <c r="V132" s="55"/>
      <c r="W132" s="55"/>
      <c r="X132" s="7"/>
      <c r="Z132" s="56"/>
      <c r="AA132" s="20"/>
      <c r="AB132" s="61"/>
      <c r="AC132" s="62"/>
      <c r="AE132" s="63"/>
      <c r="AF132" s="62"/>
      <c r="AG132" s="62"/>
      <c r="AH132" s="62"/>
    </row>
    <row r="133" spans="1:35" s="5" customFormat="1" ht="12.75" x14ac:dyDescent="0.2">
      <c r="A133" s="52"/>
      <c r="B133" s="54" t="s">
        <v>78</v>
      </c>
      <c r="C133" s="85">
        <f>C35*C19</f>
        <v>48.223350253807105</v>
      </c>
      <c r="D133" s="92" t="s">
        <v>93</v>
      </c>
      <c r="E133" s="52"/>
      <c r="F133" s="52"/>
      <c r="G133" s="52"/>
      <c r="H133" s="52"/>
      <c r="I133" s="52"/>
      <c r="J133" s="52"/>
      <c r="K133" s="52"/>
      <c r="L133" s="7"/>
      <c r="M133" s="42"/>
      <c r="N133" s="42"/>
      <c r="O133" s="42"/>
      <c r="P133" s="42"/>
      <c r="Q133" s="42"/>
      <c r="R133" s="42"/>
      <c r="S133" s="42"/>
      <c r="T133" s="42"/>
      <c r="U133" s="7"/>
      <c r="V133" s="55"/>
      <c r="X133" s="108">
        <v>1.5</v>
      </c>
      <c r="Y133" s="108">
        <v>1.4</v>
      </c>
      <c r="Z133" s="109">
        <v>1.3</v>
      </c>
      <c r="AA133" s="109">
        <v>1.2</v>
      </c>
      <c r="AB133" s="109">
        <v>1.1000000000000001</v>
      </c>
      <c r="AC133" s="109">
        <v>1</v>
      </c>
      <c r="AD133" s="62"/>
      <c r="AE133" s="62"/>
      <c r="AF133" s="5">
        <f>INDEX(X133:AC133,AF134)</f>
        <v>1.4</v>
      </c>
      <c r="AG133" s="5">
        <f>INDEX(X133:AC133,AG134)</f>
        <v>1.3</v>
      </c>
      <c r="AH133" s="62"/>
      <c r="AI133" s="27"/>
    </row>
    <row r="134" spans="1:35" s="5" customFormat="1" ht="12.75" x14ac:dyDescent="0.2">
      <c r="A134" s="66"/>
      <c r="B134" s="54"/>
      <c r="C134" s="71"/>
      <c r="D134" s="52"/>
      <c r="E134" s="52"/>
      <c r="F134" s="52"/>
      <c r="G134" s="52"/>
      <c r="H134" s="71"/>
      <c r="I134" s="52"/>
      <c r="J134" s="52"/>
      <c r="K134" s="52"/>
      <c r="L134" s="7"/>
      <c r="M134" s="42"/>
      <c r="N134" s="42"/>
      <c r="O134" s="42"/>
      <c r="P134" s="42"/>
      <c r="Q134" s="42"/>
      <c r="R134" s="42"/>
      <c r="S134" s="42"/>
      <c r="T134" s="42"/>
      <c r="U134" s="7"/>
      <c r="V134" s="55"/>
      <c r="W134" s="55"/>
      <c r="X134" s="7"/>
      <c r="Y134" s="27"/>
      <c r="Z134" s="67"/>
      <c r="AA134" s="20"/>
      <c r="AB134" s="61"/>
      <c r="AC134" s="68"/>
      <c r="AD134" s="68"/>
      <c r="AE134" s="68"/>
      <c r="AF134" s="5">
        <f>MATCH(AF138,X133:AC133,-1)</f>
        <v>2</v>
      </c>
      <c r="AG134" s="62">
        <f>AF134+1</f>
        <v>3</v>
      </c>
      <c r="AH134" s="68"/>
      <c r="AI134" s="27"/>
    </row>
    <row r="135" spans="1:35" s="5" customFormat="1" ht="12.75" x14ac:dyDescent="0.2">
      <c r="A135" s="66"/>
      <c r="B135" s="71" t="s">
        <v>94</v>
      </c>
      <c r="C135" s="66"/>
      <c r="D135" s="54"/>
      <c r="E135" s="52"/>
      <c r="F135" s="73"/>
      <c r="G135" s="52"/>
      <c r="H135" s="73"/>
      <c r="I135" s="52"/>
      <c r="J135" s="52"/>
      <c r="K135" s="52"/>
      <c r="L135" s="7"/>
      <c r="M135" s="42"/>
      <c r="N135" s="42"/>
      <c r="O135" s="42"/>
      <c r="P135" s="42"/>
      <c r="Q135" s="42"/>
      <c r="R135" s="42"/>
      <c r="S135" s="42"/>
      <c r="T135" s="42"/>
      <c r="U135" s="7"/>
      <c r="V135" s="55"/>
      <c r="W135" s="55"/>
      <c r="X135" s="5">
        <v>2.2999999999999998</v>
      </c>
      <c r="Y135" s="5">
        <v>2.1</v>
      </c>
      <c r="Z135" s="5">
        <v>1.9</v>
      </c>
      <c r="AA135" s="5">
        <v>1.72</v>
      </c>
      <c r="AB135" s="5">
        <v>1.53</v>
      </c>
      <c r="AC135" s="5">
        <v>1.34</v>
      </c>
      <c r="AF135" s="5">
        <f>INDEX(X135:AC135,AF134)</f>
        <v>2.1</v>
      </c>
      <c r="AG135" s="5">
        <f>INDEX(X135:AC135,AG134)</f>
        <v>1.9</v>
      </c>
    </row>
    <row r="136" spans="1:35" s="5" customFormat="1" ht="12.75" x14ac:dyDescent="0.2">
      <c r="A136" s="66"/>
      <c r="B136" s="54" t="s">
        <v>92</v>
      </c>
      <c r="C136" s="5" t="str">
        <f>[2]!xln(C137)</f>
        <v>3.8 × 8.63</v>
      </c>
      <c r="D136" s="87"/>
      <c r="E136" s="52"/>
      <c r="F136" s="73"/>
      <c r="G136" s="52"/>
      <c r="H136" s="73"/>
      <c r="I136" s="52"/>
      <c r="J136" s="52"/>
      <c r="K136" s="52"/>
      <c r="L136" s="7"/>
      <c r="M136" s="42"/>
      <c r="N136" s="42"/>
      <c r="O136" s="42"/>
      <c r="P136" s="42"/>
      <c r="Q136" s="42"/>
      <c r="R136" s="42"/>
      <c r="S136" s="42"/>
      <c r="T136" s="42"/>
      <c r="U136" s="7"/>
      <c r="V136" s="55"/>
      <c r="W136" s="55"/>
      <c r="X136" s="27">
        <v>-0.32</v>
      </c>
      <c r="Y136" s="27">
        <v>-0.32</v>
      </c>
      <c r="Z136" s="27">
        <v>-0.32</v>
      </c>
      <c r="AA136" s="27">
        <v>-0.32</v>
      </c>
      <c r="AB136" s="27">
        <v>-0.32</v>
      </c>
      <c r="AC136" s="27">
        <v>-0.32</v>
      </c>
      <c r="AF136" s="5">
        <f>INDEX(X136:AC136,AF134)</f>
        <v>-0.32</v>
      </c>
      <c r="AG136" s="5">
        <f>INDEX(X136:AC136,AG134)</f>
        <v>-0.32</v>
      </c>
      <c r="AH136" s="68"/>
    </row>
    <row r="137" spans="1:35" s="5" customFormat="1" ht="12.75" x14ac:dyDescent="0.2">
      <c r="A137" s="52"/>
      <c r="B137" s="52"/>
      <c r="C137" s="65">
        <f>C35*C23</f>
        <v>32.791878172588831</v>
      </c>
      <c r="D137" s="92" t="s">
        <v>93</v>
      </c>
      <c r="E137" s="52"/>
      <c r="F137" s="74"/>
      <c r="G137" s="52"/>
      <c r="H137" s="74"/>
      <c r="I137" s="52"/>
      <c r="J137" s="52"/>
      <c r="K137" s="52"/>
      <c r="L137" s="7"/>
      <c r="M137" s="42"/>
      <c r="N137" s="42"/>
      <c r="O137" s="42"/>
      <c r="P137" s="42"/>
      <c r="Q137" s="42"/>
      <c r="R137" s="42"/>
      <c r="S137" s="42"/>
      <c r="T137" s="42"/>
      <c r="U137" s="7"/>
      <c r="V137" s="55"/>
      <c r="W137" s="55"/>
      <c r="X137" s="7"/>
      <c r="AD137" s="20"/>
      <c r="AE137" s="20"/>
      <c r="AF137" s="20"/>
      <c r="AG137" s="20"/>
      <c r="AH137" s="68"/>
    </row>
    <row r="138" spans="1:35" s="5" customFormat="1" ht="12.75" x14ac:dyDescent="0.2">
      <c r="A138" s="66"/>
      <c r="B138" s="52"/>
      <c r="C138" s="87"/>
      <c r="D138" s="74"/>
      <c r="E138" s="52"/>
      <c r="F138" s="74"/>
      <c r="G138" s="52"/>
      <c r="H138" s="74"/>
      <c r="I138" s="52"/>
      <c r="J138" s="52"/>
      <c r="K138" s="52"/>
      <c r="L138" s="7"/>
      <c r="M138" s="42"/>
      <c r="N138" s="42"/>
      <c r="O138" s="42"/>
      <c r="P138" s="42"/>
      <c r="Q138" s="42"/>
      <c r="R138" s="42"/>
      <c r="S138" s="42"/>
      <c r="T138" s="42"/>
      <c r="U138" s="7"/>
      <c r="V138" s="55"/>
      <c r="W138" s="55"/>
      <c r="X138" s="7"/>
      <c r="AD138" s="20"/>
      <c r="AE138" s="20"/>
      <c r="AF138" s="94">
        <f>IF(F131&gt;1.5,1.5,F131)</f>
        <v>1.3553216371475063</v>
      </c>
      <c r="AG138" s="20"/>
      <c r="AH138" s="68"/>
    </row>
    <row r="139" spans="1:35" s="5" customFormat="1" ht="14.25" x14ac:dyDescent="0.25">
      <c r="A139" s="66"/>
      <c r="B139" s="110" t="s">
        <v>97</v>
      </c>
      <c r="C139" s="87"/>
      <c r="D139" s="74"/>
      <c r="E139" s="52"/>
      <c r="F139" s="74"/>
      <c r="G139" s="52"/>
      <c r="H139" s="74"/>
      <c r="I139" s="52"/>
      <c r="J139" s="52"/>
      <c r="K139" s="52"/>
      <c r="L139" s="7"/>
      <c r="M139" s="42"/>
      <c r="N139" s="42"/>
      <c r="O139" s="42"/>
      <c r="P139" s="42"/>
      <c r="Q139" s="42"/>
      <c r="R139" s="42"/>
      <c r="S139" s="42"/>
      <c r="T139" s="42"/>
      <c r="U139" s="7"/>
      <c r="V139" s="55"/>
      <c r="W139" s="55">
        <v>0</v>
      </c>
      <c r="X139" s="7"/>
      <c r="AD139" s="20">
        <v>0.5</v>
      </c>
      <c r="AE139" s="20"/>
      <c r="AF139" s="20"/>
      <c r="AG139" s="20"/>
    </row>
    <row r="140" spans="1:35" s="5" customFormat="1" ht="12.75" x14ac:dyDescent="0.2">
      <c r="A140" s="66"/>
      <c r="B140" s="66"/>
      <c r="C140" s="87"/>
      <c r="D140" s="74"/>
      <c r="E140" s="52"/>
      <c r="F140" s="74"/>
      <c r="G140" s="52"/>
      <c r="H140" s="74"/>
      <c r="I140" s="52"/>
      <c r="J140" s="52"/>
      <c r="K140" s="66"/>
      <c r="L140" s="7"/>
      <c r="M140" s="42"/>
      <c r="N140" s="42"/>
      <c r="O140" s="42"/>
      <c r="P140" s="42"/>
      <c r="Q140" s="42"/>
      <c r="R140" s="42"/>
      <c r="S140" s="42"/>
      <c r="T140" s="42"/>
      <c r="U140" s="7"/>
      <c r="V140" s="55"/>
      <c r="W140" s="55">
        <v>5</v>
      </c>
      <c r="X140" s="111">
        <f xml:space="preserve"> X$135*$W140^X$136</f>
        <v>1.3742237015008811</v>
      </c>
      <c r="Y140" s="111">
        <f xml:space="preserve"> Y135*W140^Y136</f>
        <v>1.2547259883268915</v>
      </c>
      <c r="Z140" s="111">
        <f xml:space="preserve"> Z135*W140^Z136</f>
        <v>1.1352282751529019</v>
      </c>
      <c r="AA140" s="111">
        <f xml:space="preserve"> AA135*W140^AA136</f>
        <v>1.0276803332963111</v>
      </c>
      <c r="AB140" s="111">
        <f xml:space="preserve"> AB135*W140^AB136</f>
        <v>0.91415750578102106</v>
      </c>
      <c r="AC140" s="111">
        <f xml:space="preserve"> AC135*W140^AC136</f>
        <v>0.80063467826573087</v>
      </c>
      <c r="AD140" s="20">
        <v>0.5</v>
      </c>
      <c r="AE140" s="20"/>
      <c r="AF140" s="20"/>
      <c r="AG140" s="20"/>
    </row>
    <row r="141" spans="1:35" s="5" customFormat="1" ht="12.75" x14ac:dyDescent="0.2">
      <c r="A141" s="66"/>
      <c r="B141" s="66"/>
      <c r="C141" s="87"/>
      <c r="D141" s="74"/>
      <c r="E141" s="52"/>
      <c r="F141" s="74"/>
      <c r="G141" s="52"/>
      <c r="H141" s="74"/>
      <c r="I141" s="52"/>
      <c r="J141" s="52"/>
      <c r="K141" s="66"/>
      <c r="L141" s="7"/>
      <c r="M141" s="42"/>
      <c r="N141" s="42"/>
      <c r="O141" s="42"/>
      <c r="P141" s="42"/>
      <c r="Q141" s="42"/>
      <c r="R141" s="42"/>
      <c r="S141" s="42"/>
      <c r="T141" s="42"/>
      <c r="U141" s="7"/>
      <c r="V141" s="55"/>
      <c r="W141" s="55">
        <v>7</v>
      </c>
      <c r="X141" s="111">
        <f t="shared" ref="X141:X161" si="0" xml:space="preserve"> X$135*$W141^X$136</f>
        <v>1.2339468771401767</v>
      </c>
      <c r="Y141" s="111">
        <f xml:space="preserve"> Y135*W141^Y136</f>
        <v>1.1266471486932048</v>
      </c>
      <c r="Z141" s="111">
        <f xml:space="preserve"> Z135*W141^Z136</f>
        <v>1.0193474202462329</v>
      </c>
      <c r="AA141" s="111">
        <f xml:space="preserve"> AA135*W141^AA136</f>
        <v>0.92277766464395816</v>
      </c>
      <c r="AB141" s="111">
        <f xml:space="preserve"> AB135*W141^AB136</f>
        <v>0.820842922619335</v>
      </c>
      <c r="AC141" s="111">
        <f xml:space="preserve"> AC135*W141^AC136</f>
        <v>0.71890818059471173</v>
      </c>
      <c r="AD141" s="20">
        <v>0.5</v>
      </c>
      <c r="AE141" s="55">
        <f>C133</f>
        <v>48.223350253807105</v>
      </c>
      <c r="AF141" s="111">
        <f xml:space="preserve"> AF135*AE141^AF136</f>
        <v>0.60754287695829023</v>
      </c>
      <c r="AG141" s="111">
        <f xml:space="preserve"> AG135*AE141^AG136</f>
        <v>0.54968165058131024</v>
      </c>
    </row>
    <row r="142" spans="1:35" s="5" customFormat="1" ht="12.75" x14ac:dyDescent="0.2">
      <c r="A142" s="52"/>
      <c r="B142" s="52"/>
      <c r="C142" s="52"/>
      <c r="D142" s="52"/>
      <c r="E142" s="52"/>
      <c r="F142" s="52"/>
      <c r="G142" s="52"/>
      <c r="H142" s="52"/>
      <c r="I142" s="52"/>
      <c r="J142" s="52"/>
      <c r="K142" s="52"/>
      <c r="L142" s="7"/>
      <c r="M142" s="42"/>
      <c r="N142" s="42"/>
      <c r="O142" s="42"/>
      <c r="P142" s="42"/>
      <c r="Q142" s="42"/>
      <c r="R142" s="42"/>
      <c r="S142" s="42"/>
      <c r="T142" s="42"/>
      <c r="U142" s="7"/>
      <c r="V142" s="55"/>
      <c r="W142" s="55">
        <v>9</v>
      </c>
      <c r="X142" s="111">
        <f t="shared" si="0"/>
        <v>1.138597518597833</v>
      </c>
      <c r="Y142" s="111">
        <f xml:space="preserve"> Y135*W142^Y136</f>
        <v>1.0395890387197606</v>
      </c>
      <c r="Z142" s="111">
        <f xml:space="preserve"> Z135*W142^Z136</f>
        <v>0.94058055884168812</v>
      </c>
      <c r="AA142" s="111">
        <f xml:space="preserve"> AA135*W142^AA136</f>
        <v>0.85147292695142296</v>
      </c>
      <c r="AB142" s="111">
        <f xml:space="preserve"> AB135*W142^AB136</f>
        <v>0.75741487106725425</v>
      </c>
      <c r="AC142" s="111">
        <f xml:space="preserve"> AC135*W142^AC136</f>
        <v>0.66335681518308542</v>
      </c>
      <c r="AD142" s="20">
        <v>0.5</v>
      </c>
      <c r="AE142" s="68"/>
      <c r="AF142" s="77">
        <f>(AF141-AG141)/(AF133-AG133)*(AF138-AG133)+AG141</f>
        <v>0.5816914282866803</v>
      </c>
      <c r="AG142" s="68"/>
      <c r="AH142" s="68"/>
      <c r="AI142" s="27"/>
    </row>
    <row r="143" spans="1:35" s="5" customFormat="1" ht="12.75" x14ac:dyDescent="0.2">
      <c r="A143" s="52"/>
      <c r="B143" s="52"/>
      <c r="C143" s="52"/>
      <c r="D143" s="52"/>
      <c r="E143" s="52"/>
      <c r="F143" s="52"/>
      <c r="G143" s="52"/>
      <c r="H143" s="52"/>
      <c r="I143" s="52"/>
      <c r="J143" s="52"/>
      <c r="K143" s="52"/>
      <c r="L143" s="7"/>
      <c r="M143" s="42"/>
      <c r="N143" s="42"/>
      <c r="O143" s="42"/>
      <c r="P143" s="42"/>
      <c r="Q143" s="42"/>
      <c r="R143" s="42"/>
      <c r="S143" s="42"/>
      <c r="T143" s="42"/>
      <c r="U143" s="7"/>
      <c r="V143" s="55"/>
      <c r="W143" s="55">
        <v>11</v>
      </c>
      <c r="X143" s="111">
        <f t="shared" si="0"/>
        <v>1.0677809704313193</v>
      </c>
      <c r="Y143" s="111">
        <f xml:space="preserve"> Y135*W143^Y136</f>
        <v>0.97493045126337852</v>
      </c>
      <c r="Z143" s="111">
        <f xml:space="preserve"> Z135*W143^Z136</f>
        <v>0.88207993209543756</v>
      </c>
      <c r="AA143" s="111">
        <f xml:space="preserve"> AA135*W143^AA136</f>
        <v>0.79851446484429089</v>
      </c>
      <c r="AB143" s="111">
        <f xml:space="preserve"> AB135*W143^AB136</f>
        <v>0.71030647163474714</v>
      </c>
      <c r="AC143" s="111">
        <f xml:space="preserve"> AC135*W143^AC136</f>
        <v>0.62209847842520338</v>
      </c>
      <c r="AD143" s="20">
        <v>0.5</v>
      </c>
      <c r="AE143" s="75"/>
      <c r="AF143" s="75"/>
      <c r="AG143" s="75"/>
      <c r="AH143" s="75"/>
      <c r="AI143" s="76"/>
    </row>
    <row r="144" spans="1:35" s="5" customFormat="1" ht="12.75" x14ac:dyDescent="0.2">
      <c r="A144" s="54"/>
      <c r="B144" s="52"/>
      <c r="C144" s="52"/>
      <c r="D144" s="112"/>
      <c r="E144" s="52"/>
      <c r="F144" s="52"/>
      <c r="G144" s="52"/>
      <c r="H144" s="52"/>
      <c r="I144" s="52"/>
      <c r="J144" s="52"/>
      <c r="K144" s="52"/>
      <c r="L144" s="7"/>
      <c r="M144" s="42"/>
      <c r="N144" s="42"/>
      <c r="O144" s="42"/>
      <c r="P144" s="42"/>
      <c r="Q144" s="42"/>
      <c r="R144" s="42"/>
      <c r="S144" s="42"/>
      <c r="T144" s="42"/>
      <c r="U144" s="7"/>
      <c r="V144" s="55"/>
      <c r="W144" s="55">
        <v>13</v>
      </c>
      <c r="X144" s="111">
        <f t="shared" si="0"/>
        <v>1.0121991383646831</v>
      </c>
      <c r="Y144" s="111">
        <f xml:space="preserve"> Y135*W144^Y136</f>
        <v>0.92418182198514554</v>
      </c>
      <c r="Z144" s="111">
        <f xml:space="preserve"> Z135*W144^Z136</f>
        <v>0.83616450560560784</v>
      </c>
      <c r="AA144" s="111">
        <f xml:space="preserve"> AA135*W144^AA136</f>
        <v>0.75694892086402399</v>
      </c>
      <c r="AB144" s="111">
        <f xml:space="preserve"> AB135*W144^AB136</f>
        <v>0.67333247030346322</v>
      </c>
      <c r="AC144" s="111">
        <f xml:space="preserve"> AC135*W144^AC136</f>
        <v>0.58971601974290244</v>
      </c>
      <c r="AD144" s="20">
        <v>0.5</v>
      </c>
      <c r="AE144" s="75"/>
      <c r="AF144" s="75"/>
      <c r="AG144" s="75"/>
      <c r="AH144" s="75"/>
      <c r="AI144" s="76"/>
    </row>
    <row r="145" spans="1:35" s="5" customFormat="1" ht="12.75" x14ac:dyDescent="0.2">
      <c r="A145" s="54"/>
      <c r="B145" s="113"/>
      <c r="C145" s="71"/>
      <c r="D145" s="82"/>
      <c r="E145" s="52"/>
      <c r="F145" s="54"/>
      <c r="G145" s="72"/>
      <c r="H145" s="52"/>
      <c r="I145" s="52"/>
      <c r="J145" s="52"/>
      <c r="K145" s="52"/>
      <c r="L145" s="7"/>
      <c r="M145" s="42"/>
      <c r="N145" s="42"/>
      <c r="O145" s="42"/>
      <c r="P145" s="42"/>
      <c r="Q145" s="42"/>
      <c r="R145" s="42"/>
      <c r="S145" s="42"/>
      <c r="T145" s="42"/>
      <c r="U145" s="7"/>
      <c r="V145" s="55"/>
      <c r="W145" s="55">
        <v>15</v>
      </c>
      <c r="X145" s="111">
        <f t="shared" si="0"/>
        <v>0.96689348318850965</v>
      </c>
      <c r="Y145" s="111">
        <f xml:space="preserve"> Y135*W145^Y136</f>
        <v>0.88281578899820456</v>
      </c>
      <c r="Z145" s="111">
        <f xml:space="preserve"> Z135*W145^Z136</f>
        <v>0.79873809480789937</v>
      </c>
      <c r="AA145" s="111">
        <f xml:space="preserve"> AA135*W145^AA136</f>
        <v>0.72306817003662471</v>
      </c>
      <c r="AB145" s="111">
        <f xml:space="preserve"> AB135*W145^AB136</f>
        <v>0.64319436055583479</v>
      </c>
      <c r="AC145" s="111">
        <f xml:space="preserve"> AC135*W145^AC136</f>
        <v>0.56332055107504486</v>
      </c>
      <c r="AD145" s="20">
        <v>0.5</v>
      </c>
      <c r="AE145" s="75"/>
      <c r="AF145" s="75"/>
      <c r="AG145" s="75"/>
      <c r="AH145" s="75"/>
      <c r="AI145" s="76"/>
    </row>
    <row r="146" spans="1:35" s="5" customFormat="1" ht="12.75" x14ac:dyDescent="0.2">
      <c r="A146" s="54"/>
      <c r="B146" s="52"/>
      <c r="C146" s="52"/>
      <c r="D146" s="82"/>
      <c r="E146" s="52"/>
      <c r="F146" s="54"/>
      <c r="G146" s="52"/>
      <c r="H146" s="52"/>
      <c r="I146" s="52"/>
      <c r="J146" s="71"/>
      <c r="K146" s="71"/>
      <c r="L146" s="7"/>
      <c r="M146" s="42"/>
      <c r="N146" s="42"/>
      <c r="O146" s="42"/>
      <c r="P146" s="42"/>
      <c r="Q146" s="42"/>
      <c r="R146" s="42"/>
      <c r="S146" s="42"/>
      <c r="T146" s="42"/>
      <c r="U146" s="7"/>
      <c r="V146" s="55"/>
      <c r="W146" s="55">
        <v>17</v>
      </c>
      <c r="X146" s="111">
        <f t="shared" si="0"/>
        <v>0.92893255055070945</v>
      </c>
      <c r="Y146" s="111">
        <f xml:space="preserve"> Y135*W146^Y136</f>
        <v>0.84815580702456095</v>
      </c>
      <c r="Z146" s="111">
        <f xml:space="preserve"> Z135*W146^Z136</f>
        <v>0.76737906349841212</v>
      </c>
      <c r="AA146" s="111">
        <f xml:space="preserve"> AA135*W146^AA136</f>
        <v>0.69467999432487837</v>
      </c>
      <c r="AB146" s="111">
        <f xml:space="preserve"> AB135*W146^AB136</f>
        <v>0.61794208797503725</v>
      </c>
      <c r="AC146" s="111">
        <f xml:space="preserve"> AC135*W146^AC136</f>
        <v>0.54120418162519601</v>
      </c>
      <c r="AD146" s="20">
        <v>0.5</v>
      </c>
      <c r="AE146" s="75"/>
      <c r="AF146" s="75"/>
      <c r="AG146" s="75"/>
      <c r="AH146" s="75"/>
      <c r="AI146" s="76"/>
    </row>
    <row r="147" spans="1:35" s="5" customFormat="1" ht="12.75" x14ac:dyDescent="0.2">
      <c r="A147" s="54"/>
      <c r="B147" s="81"/>
      <c r="C147" s="52"/>
      <c r="D147" s="52"/>
      <c r="E147" s="52"/>
      <c r="F147" s="54"/>
      <c r="G147" s="71"/>
      <c r="H147" s="52"/>
      <c r="I147" s="52"/>
      <c r="J147" s="71"/>
      <c r="K147" s="71"/>
      <c r="L147" s="7"/>
      <c r="M147" s="42"/>
      <c r="N147" s="42"/>
      <c r="O147" s="42"/>
      <c r="P147" s="42"/>
      <c r="Q147" s="42"/>
      <c r="R147" s="42"/>
      <c r="S147" s="42"/>
      <c r="T147" s="42"/>
      <c r="U147" s="7"/>
      <c r="V147" s="55"/>
      <c r="W147" s="55">
        <v>21</v>
      </c>
      <c r="X147" s="111">
        <f t="shared" si="0"/>
        <v>0.86819576230899731</v>
      </c>
      <c r="Y147" s="111">
        <f xml:space="preserve"> Y135*W147^Y136</f>
        <v>0.79270047862995408</v>
      </c>
      <c r="Z147" s="111">
        <f xml:space="preserve"> Z135*W147^Z136</f>
        <v>0.71720519495091084</v>
      </c>
      <c r="AA147" s="111">
        <f xml:space="preserve"> AA135*W147^AA136</f>
        <v>0.64925943963977195</v>
      </c>
      <c r="AB147" s="111">
        <f xml:space="preserve"> AB135*W147^AB136</f>
        <v>0.57753892014468089</v>
      </c>
      <c r="AC147" s="111">
        <f xml:space="preserve"> AC135*W147^AC136</f>
        <v>0.50581840064958983</v>
      </c>
      <c r="AD147" s="20">
        <v>0.5</v>
      </c>
      <c r="AE147" s="55">
        <f>C137</f>
        <v>32.791878172588831</v>
      </c>
      <c r="AF147" s="111">
        <f xml:space="preserve"> AF135*AE147^AF136</f>
        <v>0.68734389774871341</v>
      </c>
      <c r="AG147" s="111">
        <f xml:space="preserve"> AG135*AE147^AG136</f>
        <v>0.62188257415359782</v>
      </c>
      <c r="AH147" s="75"/>
      <c r="AI147" s="76"/>
    </row>
    <row r="148" spans="1:35" s="5" customFormat="1" ht="12.75" x14ac:dyDescent="0.2">
      <c r="A148" s="52"/>
      <c r="B148" s="52"/>
      <c r="C148" s="52"/>
      <c r="D148" s="114"/>
      <c r="E148" s="52"/>
      <c r="F148" s="54"/>
      <c r="G148" s="52"/>
      <c r="H148" s="52"/>
      <c r="I148" s="52"/>
      <c r="J148" s="52"/>
      <c r="K148" s="52"/>
      <c r="L148" s="7"/>
      <c r="M148" s="42"/>
      <c r="N148" s="42"/>
      <c r="O148" s="42"/>
      <c r="P148" s="42"/>
      <c r="Q148" s="42"/>
      <c r="R148" s="42"/>
      <c r="S148" s="42"/>
      <c r="T148" s="42"/>
      <c r="U148" s="7"/>
      <c r="V148" s="55"/>
      <c r="W148" s="55">
        <v>25</v>
      </c>
      <c r="X148" s="111">
        <f t="shared" si="0"/>
        <v>0.82108294859425357</v>
      </c>
      <c r="Y148" s="111">
        <f xml:space="preserve"> Y135*W148^Y136</f>
        <v>0.74968443132518814</v>
      </c>
      <c r="Z148" s="111">
        <f xml:space="preserve"> Z135*W148^Z136</f>
        <v>0.67828591405612249</v>
      </c>
      <c r="AA148" s="111">
        <f xml:space="preserve"> AA135*W148^AA136</f>
        <v>0.61402724851396351</v>
      </c>
      <c r="AB148" s="111">
        <f xml:space="preserve"> AB135*W148^AB136</f>
        <v>0.54619865710835136</v>
      </c>
      <c r="AC148" s="111">
        <f xml:space="preserve"> AC135*W148^AC136</f>
        <v>0.4783700657027391</v>
      </c>
      <c r="AD148" s="20">
        <v>0.5</v>
      </c>
      <c r="AE148" s="61"/>
      <c r="AF148" s="77">
        <f>(AF147-AG147)/(AF133-AG133)*(AF138-AG133)+AG147</f>
        <v>0.65809685006484264</v>
      </c>
      <c r="AG148" s="78"/>
    </row>
    <row r="149" spans="1:35" s="5" customFormat="1" ht="12.75" x14ac:dyDescent="0.2">
      <c r="A149" s="52"/>
      <c r="B149" s="52"/>
      <c r="C149" s="52"/>
      <c r="D149" s="52"/>
      <c r="E149" s="52"/>
      <c r="F149" s="54"/>
      <c r="G149" s="52"/>
      <c r="H149" s="52"/>
      <c r="I149" s="52"/>
      <c r="J149" s="52"/>
      <c r="K149" s="52"/>
      <c r="L149" s="7"/>
      <c r="M149" s="42"/>
      <c r="N149" s="42"/>
      <c r="O149" s="42"/>
      <c r="P149" s="42"/>
      <c r="Q149" s="42"/>
      <c r="R149" s="42"/>
      <c r="S149" s="42"/>
      <c r="T149" s="42"/>
      <c r="U149" s="7"/>
      <c r="V149" s="55"/>
      <c r="W149" s="55">
        <v>29</v>
      </c>
      <c r="X149" s="111">
        <f t="shared" si="0"/>
        <v>0.78299768258241931</v>
      </c>
      <c r="Y149" s="111">
        <f xml:space="preserve"> Y135*W149^Y136</f>
        <v>0.71491092757525243</v>
      </c>
      <c r="Z149" s="111">
        <f xml:space="preserve"> Z135*W149^Z136</f>
        <v>0.64682417256808555</v>
      </c>
      <c r="AA149" s="111">
        <f xml:space="preserve"> AA135*W149^AA136</f>
        <v>0.5855460930616353</v>
      </c>
      <c r="AB149" s="111">
        <f xml:space="preserve"> AB135*W149^AB136</f>
        <v>0.52086367580482684</v>
      </c>
      <c r="AC149" s="111">
        <f xml:space="preserve"> AC135*W149^AC136</f>
        <v>0.45618125854801828</v>
      </c>
      <c r="AD149" s="20">
        <v>0.5</v>
      </c>
      <c r="AE149" s="80"/>
      <c r="AF149" s="80"/>
      <c r="AG149" s="80"/>
      <c r="AH149" s="80"/>
      <c r="AI149" s="80"/>
    </row>
    <row r="150" spans="1:35" s="5" customFormat="1" ht="12.75" x14ac:dyDescent="0.2">
      <c r="A150" s="52"/>
      <c r="B150" s="92"/>
      <c r="C150" s="52"/>
      <c r="D150" s="114"/>
      <c r="E150" s="52"/>
      <c r="F150" s="52"/>
      <c r="G150" s="52"/>
      <c r="H150" s="52"/>
      <c r="I150" s="52"/>
      <c r="J150" s="52"/>
      <c r="K150" s="52"/>
      <c r="L150" s="7"/>
      <c r="M150" s="42"/>
      <c r="N150" s="42"/>
      <c r="O150" s="42"/>
      <c r="P150" s="42"/>
      <c r="Q150" s="42"/>
      <c r="R150" s="42"/>
      <c r="S150" s="42"/>
      <c r="T150" s="42"/>
      <c r="U150" s="7"/>
      <c r="V150" s="55"/>
      <c r="W150" s="55">
        <v>33</v>
      </c>
      <c r="X150" s="111">
        <f t="shared" si="0"/>
        <v>0.75128267738007959</v>
      </c>
      <c r="Y150" s="111">
        <f xml:space="preserve"> Y135*W150^Y136</f>
        <v>0.6859537489122467</v>
      </c>
      <c r="Z150" s="111">
        <f xml:space="preserve"> Z135*W150^Z136</f>
        <v>0.62062482044441358</v>
      </c>
      <c r="AA150" s="111">
        <f xml:space="preserve"> AA135*W150^AA136</f>
        <v>0.56182878482336396</v>
      </c>
      <c r="AB150" s="111">
        <f xml:space="preserve"> AB135*W150^AB136</f>
        <v>0.49976630277892259</v>
      </c>
      <c r="AC150" s="111">
        <f xml:space="preserve"> AC135*W150^AC136</f>
        <v>0.43770382073448122</v>
      </c>
      <c r="AD150" s="20">
        <v>0.5</v>
      </c>
      <c r="AE150" s="80"/>
      <c r="AF150" s="94">
        <f>AE141</f>
        <v>48.223350253807105</v>
      </c>
      <c r="AG150" s="94">
        <v>0</v>
      </c>
      <c r="AH150" s="80"/>
      <c r="AI150" s="80"/>
    </row>
    <row r="151" spans="1:35" s="5" customFormat="1" ht="12.75" x14ac:dyDescent="0.2">
      <c r="A151" s="52"/>
      <c r="B151" s="52"/>
      <c r="C151" s="52"/>
      <c r="D151" s="52"/>
      <c r="E151" s="52"/>
      <c r="F151" s="52"/>
      <c r="G151" s="52"/>
      <c r="H151" s="52"/>
      <c r="I151" s="52"/>
      <c r="J151" s="52"/>
      <c r="K151" s="52"/>
      <c r="L151" s="7"/>
      <c r="M151" s="42"/>
      <c r="N151" s="42"/>
      <c r="O151" s="42"/>
      <c r="P151" s="42"/>
      <c r="Q151" s="42"/>
      <c r="R151" s="42"/>
      <c r="S151" s="42"/>
      <c r="T151" s="42"/>
      <c r="U151" s="7"/>
      <c r="V151" s="55"/>
      <c r="W151" s="55">
        <v>37</v>
      </c>
      <c r="X151" s="111">
        <f t="shared" si="0"/>
        <v>0.72427464898020477</v>
      </c>
      <c r="Y151" s="111">
        <f xml:space="preserve"> Y135*W151^Y136</f>
        <v>0.66129424472105669</v>
      </c>
      <c r="Z151" s="111">
        <f xml:space="preserve"> Z135*W151^Z136</f>
        <v>0.59831384046190828</v>
      </c>
      <c r="AA151" s="111">
        <f xml:space="preserve"> AA135*W151^AA136</f>
        <v>0.54163147662867495</v>
      </c>
      <c r="AB151" s="111">
        <f xml:space="preserve"> AB135*W151^AB136</f>
        <v>0.48180009258248413</v>
      </c>
      <c r="AC151" s="111">
        <f xml:space="preserve"> AC135*W151^AC136</f>
        <v>0.42196870853629331</v>
      </c>
      <c r="AD151" s="20">
        <v>0.5</v>
      </c>
      <c r="AE151" s="80"/>
      <c r="AF151" s="94">
        <f>AF150</f>
        <v>48.223350253807105</v>
      </c>
      <c r="AG151" s="94">
        <f>AF142</f>
        <v>0.5816914282866803</v>
      </c>
      <c r="AH151" s="80"/>
      <c r="AI151" s="80"/>
    </row>
    <row r="152" spans="1:35" s="5" customFormat="1" ht="12.75" x14ac:dyDescent="0.2">
      <c r="A152" s="54"/>
      <c r="B152" s="54"/>
      <c r="C152" s="52"/>
      <c r="D152" s="52"/>
      <c r="E152" s="52"/>
      <c r="F152" s="52"/>
      <c r="G152" s="52"/>
      <c r="H152" s="52"/>
      <c r="I152" s="52"/>
      <c r="J152" s="71"/>
      <c r="K152" s="52"/>
      <c r="L152" s="7"/>
      <c r="M152" s="42"/>
      <c r="N152" s="42"/>
      <c r="O152" s="42"/>
      <c r="P152" s="42"/>
      <c r="Q152" s="42"/>
      <c r="R152" s="42"/>
      <c r="S152" s="42"/>
      <c r="T152" s="42"/>
      <c r="U152" s="7"/>
      <c r="V152" s="55"/>
      <c r="W152" s="55">
        <v>41</v>
      </c>
      <c r="X152" s="111">
        <f t="shared" si="0"/>
        <v>0.70086924312612331</v>
      </c>
      <c r="Y152" s="111">
        <f xml:space="preserve"> Y135*W152^Y136</f>
        <v>0.63992409154993879</v>
      </c>
      <c r="Z152" s="111">
        <f xml:space="preserve"> Z135*W152^Z136</f>
        <v>0.57897893997375405</v>
      </c>
      <c r="AA152" s="111">
        <f xml:space="preserve"> AA135*W152^AA136</f>
        <v>0.52412830355518791</v>
      </c>
      <c r="AB152" s="111">
        <f xml:space="preserve"> AB135*W152^AB136</f>
        <v>0.46623040955781253</v>
      </c>
      <c r="AC152" s="111">
        <f xml:space="preserve"> AC135*W152^AC136</f>
        <v>0.40833251556043715</v>
      </c>
      <c r="AD152" s="20">
        <v>0.5</v>
      </c>
      <c r="AE152" s="80"/>
      <c r="AF152" s="94">
        <v>0</v>
      </c>
      <c r="AG152" s="94">
        <f>AG151</f>
        <v>0.5816914282866803</v>
      </c>
      <c r="AH152" s="80"/>
      <c r="AI152" s="80"/>
    </row>
    <row r="153" spans="1:35" s="5" customFormat="1" ht="12.75" x14ac:dyDescent="0.2">
      <c r="A153" s="52"/>
      <c r="B153" s="90"/>
      <c r="C153" s="115"/>
      <c r="D153" s="82"/>
      <c r="E153" s="52"/>
      <c r="F153" s="52"/>
      <c r="G153" s="52"/>
      <c r="H153" s="52"/>
      <c r="I153" s="52"/>
      <c r="J153" s="52"/>
      <c r="K153" s="52"/>
      <c r="L153" s="7"/>
      <c r="M153" s="42"/>
      <c r="N153" s="42"/>
      <c r="O153" s="42"/>
      <c r="P153" s="42"/>
      <c r="Q153" s="42"/>
      <c r="R153" s="42"/>
      <c r="S153" s="42"/>
      <c r="T153" s="42"/>
      <c r="U153" s="7"/>
      <c r="V153" s="55"/>
      <c r="W153" s="55">
        <v>45</v>
      </c>
      <c r="X153" s="111">
        <f t="shared" si="0"/>
        <v>0.68029899849010123</v>
      </c>
      <c r="Y153" s="111">
        <f xml:space="preserve"> Y135*W153^Y136</f>
        <v>0.62114256383878808</v>
      </c>
      <c r="Z153" s="111">
        <f xml:space="preserve"> Z135*W153^Z136</f>
        <v>0.56198612918747493</v>
      </c>
      <c r="AA153" s="111">
        <f xml:space="preserve"> AA135*W153^AA136</f>
        <v>0.50874533800129307</v>
      </c>
      <c r="AB153" s="111">
        <f xml:space="preserve"> AB135*W153^AB136</f>
        <v>0.45254672508254562</v>
      </c>
      <c r="AC153" s="111">
        <f xml:space="preserve"> AC135*W153^AC136</f>
        <v>0.39634811216379812</v>
      </c>
      <c r="AD153" s="20">
        <v>0.5</v>
      </c>
      <c r="AE153" s="80"/>
      <c r="AF153" s="94"/>
      <c r="AG153" s="94"/>
      <c r="AH153" s="80"/>
      <c r="AI153" s="80"/>
    </row>
    <row r="154" spans="1:35" s="5" customFormat="1" ht="12.75" x14ac:dyDescent="0.2">
      <c r="A154" s="52"/>
      <c r="B154" s="54"/>
      <c r="C154" s="72"/>
      <c r="D154" s="52"/>
      <c r="E154" s="52"/>
      <c r="F154" s="52"/>
      <c r="G154" s="52"/>
      <c r="H154" s="52"/>
      <c r="I154" s="52"/>
      <c r="J154" s="87"/>
      <c r="K154" s="52"/>
      <c r="L154" s="7"/>
      <c r="M154" s="42"/>
      <c r="N154" s="42"/>
      <c r="O154" s="42"/>
      <c r="P154" s="42"/>
      <c r="Q154" s="42"/>
      <c r="R154" s="42"/>
      <c r="S154" s="42"/>
      <c r="T154" s="42"/>
      <c r="U154" s="7"/>
      <c r="V154" s="55"/>
      <c r="W154" s="55">
        <v>49</v>
      </c>
      <c r="X154" s="111">
        <f t="shared" si="0"/>
        <v>0.6620108241756496</v>
      </c>
      <c r="Y154" s="111">
        <f xml:space="preserve"> Y135*W154^Y136</f>
        <v>0.60444466555168008</v>
      </c>
      <c r="Z154" s="111">
        <f xml:space="preserve"> Z135*W154^Z136</f>
        <v>0.54687850692771056</v>
      </c>
      <c r="AA154" s="111">
        <f xml:space="preserve"> AA135*W154^AA136</f>
        <v>0.49506896416613799</v>
      </c>
      <c r="AB154" s="111">
        <f xml:space="preserve"> AB135*W154^AB136</f>
        <v>0.44038111347336695</v>
      </c>
      <c r="AC154" s="111">
        <f xml:space="preserve"> AC135*W154^AC136</f>
        <v>0.3856932627805959</v>
      </c>
      <c r="AD154" s="20">
        <v>0.5</v>
      </c>
      <c r="AF154" s="94">
        <f>AE147</f>
        <v>32.791878172588831</v>
      </c>
      <c r="AG154" s="94">
        <v>0</v>
      </c>
    </row>
    <row r="155" spans="1:35" s="5" customFormat="1" ht="12.75" x14ac:dyDescent="0.2">
      <c r="A155" s="54"/>
      <c r="B155" s="81"/>
      <c r="C155" s="52"/>
      <c r="D155" s="52"/>
      <c r="E155" s="52"/>
      <c r="F155" s="54"/>
      <c r="G155" s="81"/>
      <c r="H155" s="52"/>
      <c r="I155" s="52"/>
      <c r="J155" s="52"/>
      <c r="K155" s="52"/>
      <c r="L155" s="7"/>
      <c r="M155" s="42"/>
      <c r="N155" s="42"/>
      <c r="O155" s="42"/>
      <c r="P155" s="42"/>
      <c r="Q155" s="42"/>
      <c r="R155" s="42"/>
      <c r="S155" s="42"/>
      <c r="T155" s="42"/>
      <c r="U155" s="7"/>
      <c r="V155" s="55"/>
      <c r="W155" s="55">
        <v>53</v>
      </c>
      <c r="X155" s="111">
        <f t="shared" si="0"/>
        <v>0.64559410739347756</v>
      </c>
      <c r="Y155" s="111">
        <f xml:space="preserve"> Y135*W155^Y136</f>
        <v>0.58945548935926229</v>
      </c>
      <c r="Z155" s="111">
        <f xml:space="preserve"> Z135*W155^Z136</f>
        <v>0.53331687132504668</v>
      </c>
      <c r="AA155" s="111">
        <f xml:space="preserve"> AA135*W155^AA136</f>
        <v>0.48279211509425285</v>
      </c>
      <c r="AB155" s="111">
        <f xml:space="preserve"> AB135*W155^AB136</f>
        <v>0.42946042796174821</v>
      </c>
      <c r="AC155" s="111">
        <f xml:space="preserve"> AC135*W155^AC136</f>
        <v>0.37612874082924352</v>
      </c>
      <c r="AD155" s="20">
        <v>0.5</v>
      </c>
      <c r="AF155" s="94">
        <f>AF154</f>
        <v>32.791878172588831</v>
      </c>
      <c r="AG155" s="94">
        <f>AF148</f>
        <v>0.65809685006484264</v>
      </c>
      <c r="AI155" s="68"/>
    </row>
    <row r="156" spans="1:35" s="5" customFormat="1" ht="12.75" x14ac:dyDescent="0.2">
      <c r="A156" s="52"/>
      <c r="B156" s="116"/>
      <c r="C156" s="115"/>
      <c r="D156" s="82"/>
      <c r="E156" s="71"/>
      <c r="F156" s="52"/>
      <c r="G156" s="92"/>
      <c r="H156" s="52"/>
      <c r="I156" s="52"/>
      <c r="J156" s="52"/>
      <c r="K156" s="52"/>
      <c r="L156" s="7"/>
      <c r="M156" s="42"/>
      <c r="N156" s="42"/>
      <c r="O156" s="42"/>
      <c r="P156" s="42"/>
      <c r="Q156" s="42"/>
      <c r="R156" s="42"/>
      <c r="S156" s="42"/>
      <c r="T156" s="42"/>
      <c r="U156" s="7"/>
      <c r="V156" s="55"/>
      <c r="W156" s="55">
        <v>60</v>
      </c>
      <c r="X156" s="111">
        <f t="shared" si="0"/>
        <v>0.62046806825446799</v>
      </c>
      <c r="Y156" s="111">
        <f xml:space="preserve"> Y135*W156^Y136</f>
        <v>0.56651432318886219</v>
      </c>
      <c r="Z156" s="111">
        <f xml:space="preserve"> Z135*W156^Z136</f>
        <v>0.51256057812325617</v>
      </c>
      <c r="AA156" s="111">
        <f xml:space="preserve"> AA135*W156^AA136</f>
        <v>0.4640022075642109</v>
      </c>
      <c r="AB156" s="111">
        <f xml:space="preserve"> AB135*W156^AB136</f>
        <v>0.41274614975188528</v>
      </c>
      <c r="AC156" s="111">
        <f xml:space="preserve"> AC135*W156^AC136</f>
        <v>0.36149009193955967</v>
      </c>
      <c r="AD156" s="20">
        <v>0.5</v>
      </c>
      <c r="AF156" s="94">
        <v>0</v>
      </c>
      <c r="AG156" s="94">
        <f>AG155</f>
        <v>0.65809685006484264</v>
      </c>
      <c r="AI156" s="68"/>
    </row>
    <row r="157" spans="1:35" s="5" customFormat="1" ht="12.75" x14ac:dyDescent="0.2">
      <c r="A157" s="52"/>
      <c r="B157" s="54"/>
      <c r="C157" s="115"/>
      <c r="D157" s="52"/>
      <c r="E157" s="52"/>
      <c r="F157" s="52"/>
      <c r="G157" s="52"/>
      <c r="H157" s="52"/>
      <c r="I157" s="52"/>
      <c r="J157" s="52"/>
      <c r="K157" s="52"/>
      <c r="L157" s="7"/>
      <c r="M157" s="42"/>
      <c r="N157" s="42"/>
      <c r="O157" s="42"/>
      <c r="P157" s="42"/>
      <c r="Q157" s="42"/>
      <c r="R157" s="42"/>
      <c r="S157" s="42"/>
      <c r="T157" s="42"/>
      <c r="U157" s="7"/>
      <c r="V157" s="55"/>
      <c r="W157" s="55">
        <v>67</v>
      </c>
      <c r="X157" s="111">
        <f t="shared" si="0"/>
        <v>0.59894080111790404</v>
      </c>
      <c r="Y157" s="111">
        <f xml:space="preserve"> Y135*W157^Y136</f>
        <v>0.54685899232504287</v>
      </c>
      <c r="Z157" s="111">
        <f xml:space="preserve"> Z135*W157^Z136</f>
        <v>0.49477718353218164</v>
      </c>
      <c r="AA157" s="111">
        <f xml:space="preserve"> AA135*W157^AA136</f>
        <v>0.44790355561860656</v>
      </c>
      <c r="AB157" s="111">
        <f xml:space="preserve"> AB135*W157^AB136</f>
        <v>0.39842583726538838</v>
      </c>
      <c r="AC157" s="111">
        <f xml:space="preserve"> AC135*W157^AC136</f>
        <v>0.34894811891217026</v>
      </c>
      <c r="AD157" s="20">
        <v>0.5</v>
      </c>
      <c r="AI157" s="68"/>
    </row>
    <row r="158" spans="1:35" s="5" customFormat="1" ht="12.75" x14ac:dyDescent="0.2">
      <c r="A158" s="54"/>
      <c r="B158" s="54"/>
      <c r="C158" s="85"/>
      <c r="D158" s="52"/>
      <c r="E158" s="52"/>
      <c r="F158" s="54"/>
      <c r="G158" s="81"/>
      <c r="H158" s="52"/>
      <c r="I158" s="52"/>
      <c r="J158" s="52"/>
      <c r="K158" s="52"/>
      <c r="L158" s="7"/>
      <c r="M158" s="42"/>
      <c r="N158" s="42"/>
      <c r="O158" s="42"/>
      <c r="P158" s="42"/>
      <c r="Q158" s="42"/>
      <c r="R158" s="42"/>
      <c r="S158" s="42"/>
      <c r="T158" s="42"/>
      <c r="U158" s="7"/>
      <c r="V158" s="55"/>
      <c r="W158" s="55">
        <v>74</v>
      </c>
      <c r="X158" s="111">
        <f t="shared" si="0"/>
        <v>0.58019460439983916</v>
      </c>
      <c r="Y158" s="111">
        <f xml:space="preserve"> Y135*W158^Y136</f>
        <v>0.52974289966941845</v>
      </c>
      <c r="Z158" s="111">
        <f xml:space="preserve"> Z135*W158^Z136</f>
        <v>0.47929119493899758</v>
      </c>
      <c r="AA158" s="111">
        <f xml:space="preserve"> AA135*W158^AA136</f>
        <v>0.43388466068161885</v>
      </c>
      <c r="AB158" s="111">
        <f xml:space="preserve"> AB135*W158^AB136</f>
        <v>0.38595554118771913</v>
      </c>
      <c r="AC158" s="111">
        <f xml:space="preserve"> AC135*W158^AC136</f>
        <v>0.33802642169381936</v>
      </c>
      <c r="AD158" s="20">
        <v>0.5</v>
      </c>
      <c r="AI158" s="68"/>
    </row>
    <row r="159" spans="1:35" s="5" customFormat="1" ht="12.75" x14ac:dyDescent="0.2">
      <c r="A159" s="52"/>
      <c r="B159" s="5" t="s">
        <v>90</v>
      </c>
      <c r="C159" s="85"/>
      <c r="D159" s="82"/>
      <c r="E159" s="87"/>
      <c r="F159" s="52"/>
      <c r="G159" s="85"/>
      <c r="H159" s="52"/>
      <c r="I159" s="91"/>
      <c r="J159" s="52"/>
      <c r="K159" s="52"/>
      <c r="L159" s="7"/>
      <c r="M159" s="42"/>
      <c r="N159" s="42"/>
      <c r="O159" s="42"/>
      <c r="P159" s="42"/>
      <c r="Q159" s="42"/>
      <c r="R159" s="42"/>
      <c r="S159" s="42"/>
      <c r="T159" s="42"/>
      <c r="U159" s="7"/>
      <c r="V159" s="55"/>
      <c r="W159" s="55">
        <v>85</v>
      </c>
      <c r="X159" s="111">
        <f t="shared" si="0"/>
        <v>0.55502657741845662</v>
      </c>
      <c r="Y159" s="111">
        <f xml:space="preserve"> Y135*W159^Y136</f>
        <v>0.50676339677337356</v>
      </c>
      <c r="Z159" s="111">
        <f xml:space="preserve"> Z135*W159^Z136</f>
        <v>0.45850021612829028</v>
      </c>
      <c r="AA159" s="111">
        <f xml:space="preserve"> AA135*W159^AA136</f>
        <v>0.41506335354771545</v>
      </c>
      <c r="AB159" s="111">
        <f xml:space="preserve"> AB135*W159^AB136</f>
        <v>0.36921333193488642</v>
      </c>
      <c r="AC159" s="111">
        <f xml:space="preserve"> AC135*W159^AC136</f>
        <v>0.3233633103220574</v>
      </c>
      <c r="AD159" s="20">
        <v>0.5</v>
      </c>
    </row>
    <row r="160" spans="1:35" s="5" customFormat="1" ht="12.75" x14ac:dyDescent="0.2">
      <c r="A160" s="52"/>
      <c r="B160" s="86" t="s">
        <v>98</v>
      </c>
      <c r="C160" s="88">
        <f>-AF142</f>
        <v>-0.5816914282866803</v>
      </c>
      <c r="D160" s="52"/>
      <c r="E160" s="52"/>
      <c r="F160" s="52"/>
      <c r="G160" s="52"/>
      <c r="H160" s="52"/>
      <c r="I160" s="52"/>
      <c r="J160" s="52"/>
      <c r="K160" s="52"/>
      <c r="L160" s="7"/>
      <c r="M160" s="42"/>
      <c r="N160" s="42"/>
      <c r="O160" s="42"/>
      <c r="P160" s="42"/>
      <c r="Q160" s="42"/>
      <c r="R160" s="42"/>
      <c r="S160" s="42"/>
      <c r="T160" s="42"/>
      <c r="U160" s="7"/>
      <c r="V160" s="55"/>
      <c r="W160" s="55">
        <v>95</v>
      </c>
      <c r="X160" s="111">
        <f t="shared" si="0"/>
        <v>0.53561937985188623</v>
      </c>
      <c r="Y160" s="111">
        <f xml:space="preserve"> Y135*W160^Y136</f>
        <v>0.48904378160389622</v>
      </c>
      <c r="Z160" s="111">
        <f xml:space="preserve"> Z135*W160^Z136</f>
        <v>0.44246818335590604</v>
      </c>
      <c r="AA160" s="111">
        <f xml:space="preserve"> AA135*W160^AA136</f>
        <v>0.40055014493271496</v>
      </c>
      <c r="AB160" s="111">
        <f xml:space="preserve"> AB135*W160^AB136</f>
        <v>0.35630332659712438</v>
      </c>
      <c r="AC160" s="111">
        <f xml:space="preserve"> AC135*W160^AC136</f>
        <v>0.31205650826153375</v>
      </c>
      <c r="AD160" s="20">
        <v>0.5</v>
      </c>
      <c r="AH160" s="68"/>
    </row>
    <row r="161" spans="1:30" s="5" customFormat="1" ht="12.75" x14ac:dyDescent="0.2">
      <c r="A161" s="52"/>
      <c r="B161" s="54"/>
      <c r="C161" s="117"/>
      <c r="D161" s="52"/>
      <c r="E161" s="52"/>
      <c r="F161" s="73"/>
      <c r="G161" s="52"/>
      <c r="H161" s="52"/>
      <c r="I161" s="73"/>
      <c r="J161" s="52"/>
      <c r="K161" s="52"/>
      <c r="L161" s="7"/>
      <c r="M161" s="42"/>
      <c r="N161" s="42"/>
      <c r="O161" s="42"/>
      <c r="P161" s="42"/>
      <c r="Q161" s="42"/>
      <c r="R161" s="42"/>
      <c r="S161" s="42"/>
      <c r="T161" s="42"/>
      <c r="U161" s="7"/>
      <c r="V161" s="55"/>
      <c r="W161" s="55">
        <v>105</v>
      </c>
      <c r="X161" s="111">
        <f t="shared" si="0"/>
        <v>0.5187370409163693</v>
      </c>
      <c r="Y161" s="111">
        <f xml:space="preserve"> Y135*W161^Y136</f>
        <v>0.4736294721410329</v>
      </c>
      <c r="Z161" s="111">
        <f xml:space="preserve"> Z135*W161^Z136</f>
        <v>0.4285219033656964</v>
      </c>
      <c r="AA161" s="111">
        <f xml:space="preserve"> AA135*W161^AA136</f>
        <v>0.38792509146789361</v>
      </c>
      <c r="AB161" s="111">
        <f xml:space="preserve"> AB135*W161^AB136</f>
        <v>0.34507290113132394</v>
      </c>
      <c r="AC161" s="111">
        <f xml:space="preserve"> AC135*W161^AC136</f>
        <v>0.30222071079475432</v>
      </c>
      <c r="AD161" s="20">
        <v>0.5</v>
      </c>
    </row>
    <row r="162" spans="1:30" s="5" customFormat="1" ht="12.75" x14ac:dyDescent="0.2">
      <c r="A162" s="52"/>
      <c r="B162" s="71" t="s">
        <v>94</v>
      </c>
      <c r="C162" s="118"/>
      <c r="D162" s="52"/>
      <c r="E162" s="53"/>
      <c r="F162" s="73"/>
      <c r="G162" s="52"/>
      <c r="H162" s="52"/>
      <c r="I162" s="73"/>
      <c r="J162" s="52"/>
      <c r="K162" s="52"/>
      <c r="L162" s="7"/>
      <c r="M162" s="42"/>
      <c r="N162" s="42"/>
      <c r="O162" s="42"/>
      <c r="P162" s="42"/>
      <c r="Q162" s="42"/>
      <c r="R162" s="42"/>
      <c r="S162" s="42"/>
      <c r="T162" s="42"/>
      <c r="U162" s="7"/>
      <c r="V162" s="55"/>
      <c r="W162" s="55"/>
      <c r="X162" s="7"/>
      <c r="Y162" s="70"/>
      <c r="Z162" s="70"/>
      <c r="AA162" s="70"/>
      <c r="AB162" s="70"/>
      <c r="AC162" s="70"/>
    </row>
    <row r="163" spans="1:30" s="5" customFormat="1" ht="12.75" x14ac:dyDescent="0.2">
      <c r="A163" s="52"/>
      <c r="B163" s="86" t="s">
        <v>98</v>
      </c>
      <c r="C163" s="88">
        <f>-AF148</f>
        <v>-0.65809685006484264</v>
      </c>
      <c r="D163" s="73"/>
      <c r="E163" s="53"/>
      <c r="F163" s="73"/>
      <c r="G163" s="52"/>
      <c r="H163" s="52"/>
      <c r="I163" s="73"/>
      <c r="J163" s="52"/>
      <c r="K163" s="52"/>
      <c r="L163" s="7"/>
      <c r="M163" s="42"/>
      <c r="N163" s="42"/>
      <c r="O163" s="42"/>
      <c r="P163" s="42"/>
      <c r="Q163" s="42"/>
      <c r="R163" s="42"/>
      <c r="S163" s="42"/>
      <c r="T163" s="42"/>
      <c r="U163" s="7"/>
      <c r="V163" s="55"/>
      <c r="W163" s="55"/>
      <c r="X163" s="7"/>
      <c r="Y163" s="70"/>
      <c r="Z163" s="20"/>
      <c r="AA163" s="80"/>
    </row>
    <row r="164" spans="1:30" s="5" customFormat="1" ht="12.75" x14ac:dyDescent="0.2">
      <c r="A164" s="52"/>
      <c r="B164" s="119"/>
      <c r="C164" s="73"/>
      <c r="D164" s="73"/>
      <c r="E164" s="53"/>
      <c r="F164" s="73"/>
      <c r="G164" s="52"/>
      <c r="H164" s="52"/>
      <c r="I164" s="73"/>
      <c r="J164" s="52"/>
      <c r="K164" s="52"/>
      <c r="L164" s="7"/>
      <c r="M164" s="42"/>
      <c r="N164" s="42"/>
      <c r="O164" s="42"/>
      <c r="P164" s="42"/>
      <c r="Q164" s="42"/>
      <c r="R164" s="42"/>
      <c r="S164" s="42"/>
      <c r="T164" s="42"/>
      <c r="U164" s="7"/>
      <c r="V164" s="55"/>
      <c r="W164" s="55"/>
      <c r="X164" s="7"/>
      <c r="Y164" s="20"/>
      <c r="Z164" s="68"/>
      <c r="AA164" s="89"/>
      <c r="AB164" s="68"/>
    </row>
    <row r="165" spans="1:30" s="5" customFormat="1" ht="12.75" x14ac:dyDescent="0.2">
      <c r="A165" s="52"/>
      <c r="B165" s="73"/>
      <c r="C165" s="73"/>
      <c r="D165" s="53"/>
      <c r="E165" s="73"/>
      <c r="F165" s="52"/>
      <c r="G165" s="52"/>
      <c r="H165" s="73"/>
      <c r="I165" s="52"/>
      <c r="J165" s="52"/>
      <c r="K165" s="52"/>
      <c r="L165" s="7"/>
      <c r="M165" s="42"/>
      <c r="N165" s="42"/>
      <c r="O165" s="42"/>
      <c r="P165" s="42"/>
      <c r="Q165" s="42"/>
      <c r="R165" s="42"/>
      <c r="S165" s="42"/>
      <c r="T165" s="42"/>
      <c r="U165" s="7"/>
      <c r="V165" s="55"/>
      <c r="W165" s="55"/>
      <c r="X165" s="7"/>
      <c r="Y165" s="20"/>
      <c r="AA165" s="80"/>
    </row>
    <row r="166" spans="1:30" s="5" customFormat="1" ht="12.75" x14ac:dyDescent="0.2">
      <c r="B166" s="5" t="s">
        <v>90</v>
      </c>
      <c r="C166" s="85"/>
      <c r="D166" s="82"/>
      <c r="E166" s="56"/>
      <c r="F166" s="56"/>
      <c r="H166" s="56"/>
      <c r="I166" s="56"/>
      <c r="L166" s="7"/>
      <c r="M166" s="42"/>
      <c r="N166" s="42"/>
      <c r="O166" s="42"/>
      <c r="P166" s="42"/>
      <c r="Q166" s="42"/>
      <c r="R166" s="42"/>
      <c r="S166" s="42"/>
      <c r="T166" s="42"/>
      <c r="U166" s="7"/>
      <c r="V166" s="55"/>
      <c r="W166" s="55"/>
      <c r="X166" s="7"/>
    </row>
    <row r="167" spans="1:30" s="5" customFormat="1" ht="12.75" x14ac:dyDescent="0.2">
      <c r="B167" s="86" t="s">
        <v>69</v>
      </c>
      <c r="C167" s="88">
        <f>C160*C35</f>
        <v>-2.2104274274893849</v>
      </c>
      <c r="D167" s="52"/>
      <c r="E167" s="94"/>
      <c r="F167" s="55"/>
      <c r="H167" s="94"/>
      <c r="I167" s="55"/>
      <c r="J167" s="62"/>
      <c r="K167" s="62"/>
      <c r="L167" s="7"/>
      <c r="M167" s="42"/>
      <c r="N167" s="42"/>
      <c r="O167" s="42"/>
      <c r="P167" s="42"/>
      <c r="Q167" s="42"/>
      <c r="R167" s="42"/>
      <c r="S167" s="42"/>
      <c r="T167" s="42"/>
      <c r="U167" s="7"/>
      <c r="V167" s="55"/>
      <c r="W167" s="55"/>
      <c r="X167" s="7"/>
    </row>
    <row r="168" spans="1:30" s="5" customFormat="1" ht="12.75" x14ac:dyDescent="0.2">
      <c r="B168" s="54"/>
      <c r="C168" s="117"/>
      <c r="D168" s="52"/>
      <c r="E168" s="94"/>
      <c r="F168" s="55"/>
      <c r="H168" s="94"/>
      <c r="I168" s="55"/>
      <c r="J168" s="62"/>
      <c r="K168" s="62"/>
      <c r="L168" s="7"/>
      <c r="M168" s="42"/>
      <c r="N168" s="42"/>
      <c r="O168" s="42"/>
      <c r="P168" s="42"/>
      <c r="Q168" s="42"/>
      <c r="R168" s="42"/>
      <c r="S168" s="42"/>
      <c r="T168" s="42"/>
      <c r="U168" s="7"/>
      <c r="V168" s="55"/>
      <c r="W168" s="55"/>
      <c r="X168" s="7"/>
    </row>
    <row r="169" spans="1:30" s="5" customFormat="1" ht="12.75" x14ac:dyDescent="0.2">
      <c r="B169" s="71" t="s">
        <v>94</v>
      </c>
      <c r="C169" s="118"/>
      <c r="D169" s="52"/>
      <c r="E169" s="94"/>
      <c r="F169" s="55"/>
      <c r="H169" s="94"/>
      <c r="I169" s="55"/>
      <c r="J169" s="62"/>
      <c r="K169" s="62"/>
      <c r="L169" s="7"/>
      <c r="M169" s="42"/>
      <c r="N169" s="42"/>
      <c r="O169" s="42"/>
      <c r="P169" s="42"/>
      <c r="Q169" s="42"/>
      <c r="R169" s="42"/>
      <c r="S169" s="42"/>
      <c r="T169" s="42"/>
      <c r="U169" s="7"/>
      <c r="V169" s="95"/>
      <c r="W169" s="55"/>
      <c r="X169" s="7"/>
    </row>
    <row r="170" spans="1:30" s="5" customFormat="1" ht="12.75" x14ac:dyDescent="0.2">
      <c r="B170" s="86" t="s">
        <v>69</v>
      </c>
      <c r="C170" s="88">
        <f>C163*C35</f>
        <v>-2.5007680302464017</v>
      </c>
      <c r="D170" s="73"/>
      <c r="E170" s="94"/>
      <c r="F170" s="55"/>
      <c r="H170" s="94"/>
      <c r="I170" s="55"/>
      <c r="J170" s="62"/>
      <c r="K170" s="62"/>
      <c r="L170" s="7"/>
      <c r="M170" s="42"/>
      <c r="N170" s="42"/>
      <c r="O170" s="42"/>
      <c r="P170" s="42"/>
      <c r="Q170" s="42"/>
      <c r="R170" s="42"/>
      <c r="S170" s="42"/>
      <c r="T170" s="42"/>
      <c r="U170" s="7"/>
      <c r="X170" s="7"/>
    </row>
    <row r="171" spans="1:30" s="5" customFormat="1" ht="12.75" x14ac:dyDescent="0.2">
      <c r="A171" s="96"/>
      <c r="B171" s="20"/>
      <c r="C171" s="97"/>
      <c r="D171" s="96"/>
      <c r="E171" s="96"/>
      <c r="F171" s="96"/>
      <c r="G171" s="97"/>
      <c r="H171" s="96"/>
      <c r="I171" s="96"/>
      <c r="J171" s="96"/>
      <c r="K171" s="96"/>
      <c r="L171" s="7"/>
      <c r="M171" s="42"/>
      <c r="N171" s="42"/>
      <c r="O171" s="42"/>
      <c r="P171" s="42"/>
      <c r="Q171" s="42"/>
      <c r="R171" s="42"/>
      <c r="S171" s="42"/>
      <c r="T171" s="42"/>
      <c r="U171" s="7"/>
      <c r="V171" s="7"/>
      <c r="W171" s="7"/>
      <c r="X171" s="7"/>
    </row>
    <row r="172" spans="1:30" s="5" customFormat="1" ht="12.75" x14ac:dyDescent="0.2">
      <c r="A172" s="96"/>
      <c r="B172" s="20"/>
      <c r="C172" s="97"/>
      <c r="D172" s="96"/>
      <c r="E172" s="96"/>
      <c r="F172" s="96"/>
      <c r="G172" s="97"/>
      <c r="H172" s="96"/>
      <c r="I172" s="96"/>
      <c r="J172" s="96"/>
      <c r="K172" s="96"/>
      <c r="L172" s="7"/>
      <c r="M172" s="42"/>
      <c r="N172" s="42"/>
      <c r="O172" s="42"/>
      <c r="P172" s="42"/>
      <c r="Q172" s="42"/>
      <c r="R172" s="42"/>
      <c r="S172" s="42"/>
      <c r="T172" s="42"/>
      <c r="U172" s="7"/>
      <c r="V172" s="7"/>
      <c r="W172" s="7"/>
      <c r="X172" s="7"/>
    </row>
    <row r="173" spans="1:30" s="5" customFormat="1" ht="12.75" x14ac:dyDescent="0.2">
      <c r="A173" s="96"/>
      <c r="B173" s="20"/>
      <c r="C173" s="97"/>
      <c r="D173" s="96"/>
      <c r="E173" s="96"/>
      <c r="F173" s="96"/>
      <c r="G173" s="97"/>
      <c r="H173" s="96"/>
      <c r="I173" s="96"/>
      <c r="J173" s="96"/>
      <c r="K173" s="96"/>
      <c r="L173" s="7"/>
      <c r="M173" s="42"/>
      <c r="N173" s="42"/>
      <c r="O173" s="42"/>
      <c r="P173" s="42"/>
      <c r="Q173" s="42"/>
      <c r="R173" s="42"/>
      <c r="S173" s="42"/>
      <c r="T173" s="42"/>
      <c r="U173" s="7"/>
      <c r="V173" s="7"/>
      <c r="W173" s="7"/>
      <c r="X173" s="7"/>
    </row>
    <row r="174" spans="1:30" s="5" customFormat="1" ht="12.75" x14ac:dyDescent="0.2">
      <c r="A174" s="96"/>
      <c r="B174" s="20"/>
      <c r="C174" s="97"/>
      <c r="D174" s="96"/>
      <c r="E174" s="96"/>
      <c r="F174" s="96"/>
      <c r="G174" s="97"/>
      <c r="H174" s="96"/>
      <c r="I174" s="96"/>
      <c r="J174" s="96"/>
      <c r="K174" s="96"/>
      <c r="L174" s="7"/>
      <c r="M174" s="42"/>
      <c r="N174" s="42"/>
      <c r="O174" s="42"/>
      <c r="P174" s="42"/>
      <c r="Q174" s="42"/>
      <c r="R174" s="42"/>
      <c r="S174" s="42"/>
      <c r="T174" s="42"/>
      <c r="U174" s="7"/>
      <c r="V174" s="7"/>
      <c r="W174" s="7"/>
      <c r="X174" s="7"/>
    </row>
    <row r="175" spans="1:30" s="5" customFormat="1" ht="12.75" x14ac:dyDescent="0.2">
      <c r="A175" s="96"/>
      <c r="B175" s="20"/>
      <c r="C175" s="97"/>
      <c r="D175" s="96"/>
      <c r="E175" s="96"/>
      <c r="F175" s="96"/>
      <c r="G175" s="97"/>
      <c r="H175" s="96"/>
      <c r="I175" s="96"/>
      <c r="J175" s="96"/>
      <c r="K175" s="96"/>
      <c r="L175" s="7"/>
      <c r="M175" s="42"/>
      <c r="N175" s="42"/>
      <c r="O175" s="42"/>
      <c r="P175" s="42"/>
      <c r="Q175" s="42"/>
      <c r="R175" s="42"/>
      <c r="S175" s="42"/>
      <c r="T175" s="42"/>
      <c r="U175" s="7"/>
      <c r="V175" s="7"/>
      <c r="W175" s="7"/>
      <c r="X175" s="7"/>
    </row>
    <row r="176" spans="1:30" s="5" customFormat="1" ht="12.75" x14ac:dyDescent="0.2">
      <c r="A176" s="96"/>
      <c r="B176" s="20"/>
      <c r="C176" s="97"/>
      <c r="D176" s="96"/>
      <c r="E176" s="96"/>
      <c r="F176" s="96"/>
      <c r="G176" s="97"/>
      <c r="H176" s="96"/>
      <c r="I176" s="96"/>
      <c r="J176" s="96"/>
      <c r="K176" s="96"/>
      <c r="L176" s="7"/>
      <c r="M176" s="42"/>
      <c r="N176" s="42"/>
      <c r="O176" s="42"/>
      <c r="P176" s="42"/>
      <c r="Q176" s="42"/>
      <c r="R176" s="42"/>
      <c r="S176" s="42"/>
      <c r="T176" s="42"/>
      <c r="U176" s="7"/>
      <c r="V176" s="7"/>
      <c r="W176" s="7"/>
      <c r="X176" s="7"/>
    </row>
    <row r="177" spans="1:46" s="5" customFormat="1" ht="12.75" x14ac:dyDescent="0.2">
      <c r="A177" s="98" t="s">
        <v>86</v>
      </c>
      <c r="B177" s="98"/>
      <c r="C177" s="98"/>
      <c r="D177" s="98"/>
      <c r="E177" s="98"/>
      <c r="F177" s="98"/>
      <c r="G177" s="99"/>
      <c r="H177" s="99"/>
      <c r="I177" s="99"/>
      <c r="J177" s="99"/>
      <c r="K177" s="100"/>
      <c r="L177" s="7"/>
      <c r="M177" s="42"/>
      <c r="N177" s="42"/>
      <c r="O177" s="42"/>
      <c r="P177" s="42"/>
      <c r="Q177" s="42"/>
      <c r="R177" s="42"/>
      <c r="S177" s="42"/>
      <c r="T177" s="42"/>
      <c r="U177" s="7"/>
    </row>
    <row r="178" spans="1:46" s="5" customFormat="1" ht="12.75" x14ac:dyDescent="0.2">
      <c r="A178" s="101"/>
      <c r="B178" s="101"/>
      <c r="C178" s="101"/>
      <c r="D178" s="102"/>
      <c r="E178" s="102"/>
      <c r="F178" s="103" t="s">
        <v>87</v>
      </c>
      <c r="G178" s="104" t="s">
        <v>88</v>
      </c>
      <c r="H178" s="105"/>
      <c r="I178" s="106"/>
      <c r="J178" s="106"/>
      <c r="K178" s="107"/>
      <c r="L178" s="7"/>
      <c r="M178" s="42"/>
      <c r="N178" s="42"/>
      <c r="O178" s="42"/>
      <c r="P178" s="42"/>
      <c r="Q178" s="42"/>
      <c r="R178" s="42"/>
      <c r="S178" s="42"/>
      <c r="T178" s="42"/>
      <c r="U178" s="7"/>
    </row>
    <row r="179" spans="1:46" s="5" customFormat="1" ht="12.75" x14ac:dyDescent="0.2">
      <c r="A179" s="14"/>
      <c r="E179" s="15" t="s">
        <v>0</v>
      </c>
      <c r="F179" s="16" t="str">
        <f>$C$1</f>
        <v>R. Abbott</v>
      </c>
      <c r="H179" s="17"/>
      <c r="I179" s="15" t="s">
        <v>46</v>
      </c>
      <c r="J179" s="18" t="str">
        <f>$G$2</f>
        <v>AA-SM-515-001</v>
      </c>
      <c r="K179" s="19"/>
      <c r="L179" s="20"/>
      <c r="M179" s="42"/>
      <c r="N179" s="42"/>
      <c r="O179" s="42"/>
      <c r="P179" s="42"/>
      <c r="Q179" s="45"/>
      <c r="R179" s="46"/>
      <c r="S179" s="47"/>
      <c r="T179" s="44"/>
    </row>
    <row r="180" spans="1:46" s="5" customFormat="1" ht="12.75" x14ac:dyDescent="0.2">
      <c r="E180" s="15" t="s">
        <v>3</v>
      </c>
      <c r="F180" s="17" t="str">
        <f>$C$2</f>
        <v xml:space="preserve"> </v>
      </c>
      <c r="H180" s="17"/>
      <c r="I180" s="15" t="s">
        <v>47</v>
      </c>
      <c r="J180" s="19" t="str">
        <f>$G$3</f>
        <v>IR</v>
      </c>
      <c r="K180" s="19"/>
      <c r="L180" s="20"/>
      <c r="M180" s="42">
        <v>1</v>
      </c>
      <c r="N180" s="42"/>
      <c r="O180" s="42"/>
      <c r="P180" s="42"/>
      <c r="Q180" s="45"/>
      <c r="R180" s="46"/>
      <c r="S180" s="47"/>
      <c r="T180" s="44"/>
      <c r="AH180" s="120"/>
      <c r="AI180" s="120"/>
      <c r="AJ180" s="120"/>
    </row>
    <row r="181" spans="1:46" s="5" customFormat="1" ht="12.75" x14ac:dyDescent="0.2">
      <c r="E181" s="15" t="s">
        <v>6</v>
      </c>
      <c r="F181" s="17" t="str">
        <f>$C$3</f>
        <v>05/03/2017</v>
      </c>
      <c r="H181" s="17"/>
      <c r="I181" s="15" t="s">
        <v>48</v>
      </c>
      <c r="J181" s="16" t="str">
        <f>L181&amp;" of "&amp;$G$1</f>
        <v>4 of 6</v>
      </c>
      <c r="K181" s="17"/>
      <c r="L181" s="20">
        <f>SUM($M$1:M180)</f>
        <v>4</v>
      </c>
      <c r="M181" s="42"/>
      <c r="N181" s="42"/>
      <c r="O181" s="42"/>
      <c r="P181" s="42"/>
      <c r="Q181" s="45"/>
      <c r="R181" s="46"/>
      <c r="S181" s="47"/>
      <c r="T181" s="44"/>
      <c r="AH181" s="120"/>
      <c r="AI181" s="120"/>
      <c r="AJ181" s="120"/>
    </row>
    <row r="182" spans="1:46" s="5" customFormat="1" ht="12.75" x14ac:dyDescent="0.2">
      <c r="E182" s="15" t="s">
        <v>49</v>
      </c>
      <c r="F182" s="17" t="str">
        <f>$C$5</f>
        <v>STANDARD SPREADSHEET METHOD</v>
      </c>
      <c r="I182" s="21"/>
      <c r="J182" s="16"/>
      <c r="M182" s="42"/>
      <c r="N182" s="42"/>
      <c r="O182" s="42"/>
      <c r="P182" s="42"/>
      <c r="Q182" s="42"/>
      <c r="R182" s="42"/>
      <c r="S182" s="43"/>
      <c r="T182" s="44"/>
      <c r="AH182" s="120"/>
      <c r="AI182" s="120"/>
      <c r="AJ182" s="120"/>
    </row>
    <row r="183" spans="1:46" s="5" customFormat="1" x14ac:dyDescent="0.25">
      <c r="A183" s="48"/>
      <c r="B183" s="23" t="str">
        <f>$G$4</f>
        <v>SIMPLIFIED PART 23 AIRCRAFT LOADS - AIRCRAFT LOADS</v>
      </c>
      <c r="C183" s="49"/>
      <c r="D183" s="49"/>
      <c r="E183" s="50"/>
      <c r="F183" s="49"/>
      <c r="G183" s="49"/>
      <c r="H183" s="49"/>
      <c r="I183" s="49"/>
      <c r="J183" s="49"/>
      <c r="K183" s="49"/>
      <c r="L183" s="7"/>
      <c r="M183" s="44"/>
      <c r="N183" s="42"/>
      <c r="O183" s="42"/>
      <c r="P183" s="42"/>
      <c r="Q183" s="42"/>
      <c r="R183" s="44"/>
      <c r="S183" s="44"/>
      <c r="T183" s="51"/>
      <c r="AH183" s="120"/>
      <c r="AI183" s="120"/>
      <c r="AJ183" s="120"/>
    </row>
    <row r="184" spans="1:46" s="5" customFormat="1" ht="12.75" x14ac:dyDescent="0.2">
      <c r="A184" s="52"/>
      <c r="B184" s="52" t="s">
        <v>50</v>
      </c>
      <c r="C184" s="52"/>
      <c r="D184" s="52"/>
      <c r="E184" s="52"/>
      <c r="F184" s="52"/>
      <c r="G184" s="52"/>
      <c r="H184" s="52"/>
      <c r="I184" s="52"/>
      <c r="J184" s="52"/>
      <c r="K184" s="52"/>
      <c r="L184" s="20"/>
      <c r="M184" s="44"/>
      <c r="N184" s="42"/>
      <c r="O184" s="42"/>
      <c r="P184" s="42"/>
      <c r="Q184" s="42"/>
      <c r="R184" s="44"/>
      <c r="S184" s="44"/>
      <c r="T184" s="51"/>
      <c r="AH184" s="120"/>
      <c r="AI184" s="120"/>
      <c r="AJ184" s="120"/>
    </row>
    <row r="185" spans="1:46" s="120" customFormat="1" ht="12.75" x14ac:dyDescent="0.2">
      <c r="B185" s="110" t="s">
        <v>99</v>
      </c>
      <c r="M185" s="44"/>
      <c r="N185" s="42"/>
      <c r="O185" s="42"/>
      <c r="P185" s="42"/>
      <c r="Q185" s="42"/>
      <c r="R185" s="44"/>
      <c r="S185" s="44"/>
      <c r="T185" s="51"/>
      <c r="V185" s="120">
        <f>C17</f>
        <v>2500</v>
      </c>
      <c r="W185" s="120">
        <v>61</v>
      </c>
    </row>
    <row r="186" spans="1:46" s="120" customFormat="1" ht="12.75" x14ac:dyDescent="0.2">
      <c r="M186" s="44"/>
      <c r="N186" s="42"/>
      <c r="O186" s="42"/>
      <c r="P186" s="42"/>
      <c r="Q186" s="42"/>
      <c r="R186" s="44"/>
      <c r="S186" s="44"/>
      <c r="T186" s="51"/>
      <c r="AJ186" s="121">
        <f>AN186</f>
        <v>120</v>
      </c>
      <c r="AK186" s="120">
        <f>(($V$185*AL186)/(0.00237*-1.35*$C$18))^0.5</f>
        <v>86.810575329453073</v>
      </c>
      <c r="AL186" s="120">
        <f>AT200</f>
        <v>-1.9</v>
      </c>
      <c r="AN186" s="121">
        <f>AT187</f>
        <v>120</v>
      </c>
      <c r="AO186" s="120">
        <v>3.8</v>
      </c>
    </row>
    <row r="187" spans="1:46" s="120" customFormat="1" ht="13.5" customHeight="1" x14ac:dyDescent="0.2">
      <c r="M187" s="44"/>
      <c r="N187" s="42"/>
      <c r="O187" s="42"/>
      <c r="P187" s="42"/>
      <c r="Q187" s="42"/>
      <c r="R187" s="44"/>
      <c r="S187" s="44"/>
      <c r="T187" s="51"/>
      <c r="V187" s="5"/>
      <c r="W187" s="5"/>
      <c r="X187" s="5"/>
      <c r="Y187" s="5"/>
      <c r="Z187" s="5"/>
      <c r="AA187" s="5"/>
      <c r="AB187" s="5"/>
      <c r="AC187" s="5"/>
      <c r="AD187" s="5"/>
      <c r="AE187" s="5"/>
      <c r="AF187" s="5"/>
      <c r="AG187" s="5"/>
      <c r="AJ187" s="120">
        <f t="shared" ref="AJ187:AJ201" si="1">$AJ$186*AK187/$AK$186</f>
        <v>114.41551070947108</v>
      </c>
      <c r="AK187" s="120">
        <f>(($V$185*AL187)/(0.00237*-1.35*$C$18))^0.5</f>
        <v>82.770635927519862</v>
      </c>
      <c r="AL187" s="120">
        <f>AL186/1.1</f>
        <v>-1.7272727272727271</v>
      </c>
      <c r="AN187" s="120">
        <f>$W$185*(AO187^0.5)*$AT$187/($W$185*$C$35^0.5)</f>
        <v>114.41551070947108</v>
      </c>
      <c r="AO187" s="120">
        <f>AO186/1.1</f>
        <v>3.4545454545454541</v>
      </c>
      <c r="AR187" s="122" t="s">
        <v>100</v>
      </c>
      <c r="AS187" s="122" t="s">
        <v>101</v>
      </c>
      <c r="AT187" s="121">
        <f>F43</f>
        <v>120</v>
      </c>
    </row>
    <row r="188" spans="1:46" s="120" customFormat="1" ht="12.75" x14ac:dyDescent="0.2">
      <c r="M188" s="44"/>
      <c r="N188" s="42"/>
      <c r="O188" s="42"/>
      <c r="P188" s="42"/>
      <c r="Q188" s="42"/>
      <c r="R188" s="44"/>
      <c r="S188" s="44"/>
      <c r="T188" s="51"/>
      <c r="V188" s="5"/>
      <c r="W188" s="5"/>
      <c r="X188" s="5"/>
      <c r="Y188" s="5"/>
      <c r="Z188" s="5"/>
      <c r="AA188" s="5"/>
      <c r="AB188" s="5"/>
      <c r="AC188" s="5"/>
      <c r="AD188" s="5"/>
      <c r="AE188" s="5"/>
      <c r="AF188" s="5"/>
      <c r="AG188" s="5"/>
      <c r="AJ188" s="120">
        <f t="shared" si="1"/>
        <v>104.4465935734187</v>
      </c>
      <c r="AK188" s="120">
        <f>(($V$185*AL188)/(0.00237*-1.35*$C$18))^0.5</f>
        <v>75.558907327583611</v>
      </c>
      <c r="AL188" s="120">
        <f>AL187/1.2</f>
        <v>-1.4393939393939392</v>
      </c>
      <c r="AN188" s="120">
        <f>$W$185*(AO188^0.5)*$AT$187/($W$185*$C$35^0.5)</f>
        <v>104.4465935734187</v>
      </c>
      <c r="AO188" s="120">
        <f>AO187/1.2</f>
        <v>2.8787878787878785</v>
      </c>
      <c r="AR188" s="122"/>
      <c r="AS188" s="122" t="s">
        <v>102</v>
      </c>
      <c r="AT188" s="120">
        <f>C35</f>
        <v>3.8</v>
      </c>
    </row>
    <row r="189" spans="1:46" s="120" customFormat="1" ht="12.75" x14ac:dyDescent="0.2">
      <c r="M189" s="44"/>
      <c r="N189" s="42"/>
      <c r="O189" s="42"/>
      <c r="P189" s="42"/>
      <c r="Q189" s="42"/>
      <c r="R189" s="44"/>
      <c r="S189" s="44"/>
      <c r="T189" s="51"/>
      <c r="AJ189" s="120">
        <f t="shared" si="1"/>
        <v>91.605722482868885</v>
      </c>
      <c r="AK189" s="120">
        <f>(($V$185*AL189)/(0.00237*-1.35*$C$18))^0.5</f>
        <v>66.269545601733853</v>
      </c>
      <c r="AL189" s="120">
        <f>AL188/1.3</f>
        <v>-1.1072261072261071</v>
      </c>
      <c r="AN189" s="120">
        <f>$W$185*(AO189^0.5)*$AT$187/($W$185*$C$35^0.5)</f>
        <v>91.605722482868885</v>
      </c>
      <c r="AO189" s="120">
        <f>AO188/1.3</f>
        <v>2.2144522144522143</v>
      </c>
      <c r="AR189" s="122"/>
      <c r="AS189" s="122"/>
    </row>
    <row r="190" spans="1:46" s="120" customFormat="1" ht="12.75" x14ac:dyDescent="0.2">
      <c r="M190" s="44"/>
      <c r="N190" s="42"/>
      <c r="O190" s="42"/>
      <c r="P190" s="42"/>
      <c r="Q190" s="42"/>
      <c r="R190" s="44"/>
      <c r="S190" s="44"/>
      <c r="T190" s="51"/>
      <c r="W190" s="120">
        <v>0</v>
      </c>
      <c r="X190" s="120">
        <v>1</v>
      </c>
      <c r="Y190" s="120">
        <v>1</v>
      </c>
      <c r="Z190" s="120">
        <v>1</v>
      </c>
      <c r="AA190" s="120">
        <v>1</v>
      </c>
      <c r="AJ190" s="120">
        <f t="shared" si="1"/>
        <v>77.420966113876361</v>
      </c>
      <c r="AK190" s="120">
        <f>(($V$185*AL190)/(0.00237*-1.35*$C$18))^0.5</f>
        <v>56.007988424230817</v>
      </c>
      <c r="AL190" s="120">
        <f>AL189/1.4</f>
        <v>-0.79087579087579085</v>
      </c>
      <c r="AN190" s="120">
        <f>$W$185*(AO190^0.5)*$AT$187/($W$185*$C$35^0.5)</f>
        <v>77.420966113876389</v>
      </c>
      <c r="AO190" s="120">
        <f>AO189/1.4</f>
        <v>1.5817515817515817</v>
      </c>
      <c r="AR190" s="122" t="s">
        <v>103</v>
      </c>
      <c r="AS190" s="122" t="s">
        <v>101</v>
      </c>
      <c r="AT190" s="121">
        <f>F49</f>
        <v>190</v>
      </c>
    </row>
    <row r="191" spans="1:46" s="120" customFormat="1" ht="12.75" x14ac:dyDescent="0.2">
      <c r="F191" s="123"/>
      <c r="G191" s="123"/>
      <c r="M191" s="44"/>
      <c r="N191" s="42"/>
      <c r="O191" s="42"/>
      <c r="P191" s="42"/>
      <c r="Q191" s="42"/>
      <c r="R191" s="44"/>
      <c r="S191" s="44"/>
      <c r="T191" s="51"/>
      <c r="W191" s="121">
        <f>AG192</f>
        <v>120</v>
      </c>
      <c r="X191" s="124">
        <f>AH192</f>
        <v>3.8</v>
      </c>
      <c r="Y191" s="124">
        <f>AT200</f>
        <v>-1.9</v>
      </c>
      <c r="AD191" s="121">
        <f>AT187</f>
        <v>120</v>
      </c>
      <c r="AE191" s="120">
        <f>AT188</f>
        <v>3.8</v>
      </c>
      <c r="AJ191" s="120">
        <f t="shared" si="1"/>
        <v>63.213954124101384</v>
      </c>
      <c r="AK191" s="120">
        <f>(($V$185*AL191)/(0.00237*-1.35*$C$18))^0.5</f>
        <v>45.730331053024116</v>
      </c>
      <c r="AL191" s="120">
        <f>AL190/1.5</f>
        <v>-0.52725052725052723</v>
      </c>
      <c r="AN191" s="120">
        <f>$W$185*(AO191^0.5)*$AT$187/($W$185*$C$35^0.5)</f>
        <v>63.213954124101392</v>
      </c>
      <c r="AO191" s="120">
        <f>AO190/1.5</f>
        <v>1.0545010545010545</v>
      </c>
      <c r="AR191" s="122"/>
      <c r="AS191" s="122" t="s">
        <v>102</v>
      </c>
      <c r="AT191" s="124">
        <f>AT188</f>
        <v>3.8</v>
      </c>
    </row>
    <row r="192" spans="1:46" s="120" customFormat="1" ht="12.75" x14ac:dyDescent="0.2">
      <c r="F192" s="123"/>
      <c r="M192" s="44"/>
      <c r="N192" s="42"/>
      <c r="O192" s="42"/>
      <c r="P192" s="42"/>
      <c r="Q192" s="42"/>
      <c r="R192" s="44"/>
      <c r="S192" s="44"/>
      <c r="T192" s="51"/>
      <c r="AD192" s="121">
        <f>AT203</f>
        <v>160</v>
      </c>
      <c r="AE192" s="124">
        <f>AT204</f>
        <v>4.1446586566634815</v>
      </c>
      <c r="AG192" s="121">
        <f>AD191</f>
        <v>120</v>
      </c>
      <c r="AH192" s="124">
        <f>AE191</f>
        <v>3.8</v>
      </c>
      <c r="AJ192" s="120">
        <f t="shared" si="1"/>
        <v>49.975018734388655</v>
      </c>
      <c r="AK192" s="120">
        <f>(($V$185*AL192)/(0.00237*-1.35*$C$18))^0.5</f>
        <v>36.153001070270626</v>
      </c>
      <c r="AL192" s="120">
        <f>AL191/1.6</f>
        <v>-0.32953157953157952</v>
      </c>
      <c r="AN192" s="120">
        <f>$W$185*(AO192^0.5)*$AT$187/($W$185*$C$35^0.5)</f>
        <v>49.975018734388655</v>
      </c>
      <c r="AO192" s="120">
        <f>AO191/1.6</f>
        <v>0.65906315906315904</v>
      </c>
      <c r="AR192" s="122"/>
      <c r="AS192" s="122"/>
    </row>
    <row r="193" spans="2:46" s="120" customFormat="1" ht="12.75" x14ac:dyDescent="0.2">
      <c r="F193" s="123"/>
      <c r="M193" s="44"/>
      <c r="N193" s="42"/>
      <c r="O193" s="42"/>
      <c r="P193" s="42"/>
      <c r="Q193" s="42"/>
      <c r="R193" s="44"/>
      <c r="S193" s="44"/>
      <c r="T193" s="51"/>
      <c r="AD193" s="121">
        <f>AT190</f>
        <v>190</v>
      </c>
      <c r="AE193" s="124">
        <f>AT191</f>
        <v>3.8</v>
      </c>
      <c r="AG193" s="121">
        <f>AD193</f>
        <v>190</v>
      </c>
      <c r="AH193" s="124">
        <f>AH192</f>
        <v>3.8</v>
      </c>
      <c r="AJ193" s="120">
        <f t="shared" si="1"/>
        <v>47.649310760087197</v>
      </c>
      <c r="AK193" s="120">
        <f>(($V$185*AL193)/(0.00237*-1.35*$C$18))^0.5</f>
        <v>34.470534009458902</v>
      </c>
      <c r="AL193" s="120">
        <f>AL192/1.1</f>
        <v>-0.29957416321052682</v>
      </c>
      <c r="AN193" s="120">
        <f>$W$185*(AO193^0.5)*$AT$187/($W$185*$C$35^0.5)</f>
        <v>47.649310760087197</v>
      </c>
      <c r="AO193" s="120">
        <f>AO192/1.1</f>
        <v>0.59914832642105365</v>
      </c>
      <c r="AR193" s="122" t="s">
        <v>104</v>
      </c>
      <c r="AS193" s="122" t="s">
        <v>101</v>
      </c>
      <c r="AT193" s="121">
        <f>AT190</f>
        <v>190</v>
      </c>
    </row>
    <row r="194" spans="2:46" s="120" customFormat="1" ht="12.75" x14ac:dyDescent="0.2">
      <c r="F194" s="123"/>
      <c r="M194" s="44"/>
      <c r="N194" s="42"/>
      <c r="O194" s="42"/>
      <c r="P194" s="42"/>
      <c r="Q194" s="42"/>
      <c r="R194" s="44"/>
      <c r="S194" s="44"/>
      <c r="T194" s="51"/>
      <c r="W194" s="120">
        <v>0</v>
      </c>
      <c r="Z194" s="120">
        <v>1</v>
      </c>
      <c r="AA194" s="120">
        <v>1</v>
      </c>
      <c r="AD194" s="121">
        <f>AD193</f>
        <v>190</v>
      </c>
      <c r="AE194" s="124">
        <f>AT194</f>
        <v>-1.9</v>
      </c>
      <c r="AG194" s="121"/>
      <c r="AH194" s="125"/>
      <c r="AJ194" s="120">
        <f t="shared" si="1"/>
        <v>35.515699313522376</v>
      </c>
      <c r="AK194" s="120">
        <f>(($V$185*AL194)/(0.00237*-1.35*$C$18))^0.5</f>
        <v>25.692819088622826</v>
      </c>
      <c r="AL194" s="120">
        <f>AL193/1.8</f>
        <v>-0.16643009067251491</v>
      </c>
      <c r="AN194" s="120">
        <f>$W$185*(AO194^0.5)*$AT$187/($W$185*$C$35^0.5)</f>
        <v>35.515699313522383</v>
      </c>
      <c r="AO194" s="120">
        <f>AO193/1.8</f>
        <v>0.33286018134502982</v>
      </c>
      <c r="AR194" s="122"/>
      <c r="AS194" s="122" t="s">
        <v>102</v>
      </c>
      <c r="AT194" s="124">
        <f>C36</f>
        <v>-1.9</v>
      </c>
    </row>
    <row r="195" spans="2:46" s="120" customFormat="1" ht="12.75" x14ac:dyDescent="0.2">
      <c r="E195" s="126"/>
      <c r="M195" s="44"/>
      <c r="N195" s="42"/>
      <c r="O195" s="42"/>
      <c r="P195" s="42"/>
      <c r="Q195" s="42"/>
      <c r="R195" s="44"/>
      <c r="S195" s="44"/>
      <c r="T195" s="51"/>
      <c r="W195" s="121">
        <f>AT190</f>
        <v>190</v>
      </c>
      <c r="Z195" s="124">
        <f>AH193</f>
        <v>3.8</v>
      </c>
      <c r="AA195" s="124">
        <f>AT200</f>
        <v>-1.9</v>
      </c>
      <c r="AD195" s="121">
        <f>AT196</f>
        <v>160</v>
      </c>
      <c r="AE195" s="124">
        <f>AT197</f>
        <v>-2.2104274274893849</v>
      </c>
      <c r="AG195" s="121">
        <f>AG192</f>
        <v>120</v>
      </c>
      <c r="AH195" s="124">
        <f>AT200</f>
        <v>-1.9</v>
      </c>
      <c r="AJ195" s="120">
        <f t="shared" si="1"/>
        <v>25.765796358008931</v>
      </c>
      <c r="AK195" s="120">
        <f>(($V$185*AL195)/(0.00237*-1.35*$C$18))^0.5</f>
        <v>18.639530047169018</v>
      </c>
      <c r="AL195" s="120">
        <f>AL194/1.9</f>
        <v>-8.759478456448154E-2</v>
      </c>
      <c r="AN195" s="120">
        <f>$W$185*(AO195^0.5)*$AT$187/($W$185*$C$35^0.5)</f>
        <v>25.765796358008934</v>
      </c>
      <c r="AO195" s="120">
        <f>AO194/1.9</f>
        <v>0.17518956912896308</v>
      </c>
      <c r="AR195" s="122"/>
      <c r="AS195" s="122"/>
    </row>
    <row r="196" spans="2:46" s="120" customFormat="1" ht="12.75" x14ac:dyDescent="0.2">
      <c r="M196" s="44"/>
      <c r="N196" s="42"/>
      <c r="O196" s="42"/>
      <c r="P196" s="42"/>
      <c r="Q196" s="42"/>
      <c r="R196" s="44"/>
      <c r="S196" s="44"/>
      <c r="T196" s="51"/>
      <c r="AD196" s="121">
        <f>AT199</f>
        <v>120</v>
      </c>
      <c r="AE196" s="124">
        <f>AT200</f>
        <v>-1.9</v>
      </c>
      <c r="AG196" s="121">
        <f>AG193</f>
        <v>190</v>
      </c>
      <c r="AH196" s="124">
        <f>AH195</f>
        <v>-1.9</v>
      </c>
      <c r="AJ196" s="120">
        <f t="shared" si="1"/>
        <v>18.219169327419767</v>
      </c>
      <c r="AK196" s="120">
        <f>(($V$185*AL196)/(0.00237*-1.35*$C$18))^0.5</f>
        <v>13.18013809448362</v>
      </c>
      <c r="AL196" s="120">
        <f t="shared" ref="AL196:AL201" si="2">AL195/2</f>
        <v>-4.379739228224077E-2</v>
      </c>
      <c r="AN196" s="120">
        <f>$W$185*(AO196^0.5)*$AT$187/($W$185*$C$35^0.5)</f>
        <v>18.219169327419767</v>
      </c>
      <c r="AO196" s="120">
        <f t="shared" ref="AO196:AO201" si="3">AO195/2</f>
        <v>8.759478456448154E-2</v>
      </c>
      <c r="AR196" s="122" t="s">
        <v>105</v>
      </c>
      <c r="AS196" s="122" t="s">
        <v>101</v>
      </c>
      <c r="AT196" s="121">
        <f>F46</f>
        <v>160</v>
      </c>
    </row>
    <row r="197" spans="2:46" s="120" customFormat="1" ht="12.75" x14ac:dyDescent="0.2">
      <c r="M197" s="44"/>
      <c r="N197" s="42"/>
      <c r="O197" s="42"/>
      <c r="P197" s="42"/>
      <c r="Q197" s="42"/>
      <c r="R197" s="44"/>
      <c r="S197" s="44"/>
      <c r="T197" s="51"/>
      <c r="AJ197" s="120">
        <f t="shared" si="1"/>
        <v>12.882898179004465</v>
      </c>
      <c r="AK197" s="120">
        <f>(($V$185*AL197)/(0.00237*-1.35*$C$18))^0.5</f>
        <v>9.3197650235845089</v>
      </c>
      <c r="AL197" s="120">
        <f t="shared" si="2"/>
        <v>-2.1898696141120385E-2</v>
      </c>
      <c r="AN197" s="120">
        <f>$W$185*(AO197^0.5)*$AT$187/($W$185*$C$35^0.5)</f>
        <v>12.882898179004467</v>
      </c>
      <c r="AO197" s="120">
        <f t="shared" si="3"/>
        <v>4.379739228224077E-2</v>
      </c>
      <c r="AR197" s="122"/>
      <c r="AS197" s="122" t="s">
        <v>102</v>
      </c>
      <c r="AT197" s="124">
        <f>C167</f>
        <v>-2.2104274274893849</v>
      </c>
    </row>
    <row r="198" spans="2:46" s="120" customFormat="1" ht="12.75" x14ac:dyDescent="0.2">
      <c r="M198" s="44"/>
      <c r="N198" s="42"/>
      <c r="O198" s="42"/>
      <c r="P198" s="42"/>
      <c r="Q198" s="42"/>
      <c r="R198" s="44"/>
      <c r="S198" s="44"/>
      <c r="T198" s="51"/>
      <c r="AG198" s="121">
        <f>AT187</f>
        <v>120</v>
      </c>
      <c r="AH198" s="120">
        <f>AT188*1.1</f>
        <v>4.18</v>
      </c>
      <c r="AJ198" s="120">
        <f t="shared" si="1"/>
        <v>9.1095846637098834</v>
      </c>
      <c r="AK198" s="120">
        <f>(($V$185*AL198)/(0.00237*-1.35*$C$18))^0.5</f>
        <v>6.5900690472418102</v>
      </c>
      <c r="AL198" s="120">
        <f t="shared" si="2"/>
        <v>-1.0949348070560192E-2</v>
      </c>
      <c r="AN198" s="120">
        <f>$W$185*(AO198^0.5)*$AT$187/($W$185*$C$35^0.5)</f>
        <v>9.1095846637098834</v>
      </c>
      <c r="AO198" s="120">
        <f t="shared" si="3"/>
        <v>2.1898696141120385E-2</v>
      </c>
      <c r="AR198" s="122"/>
      <c r="AS198" s="122"/>
    </row>
    <row r="199" spans="2:46" s="120" customFormat="1" ht="12.75" x14ac:dyDescent="0.2">
      <c r="F199" s="123"/>
      <c r="M199" s="44"/>
      <c r="N199" s="42"/>
      <c r="O199" s="42"/>
      <c r="P199" s="42"/>
      <c r="Q199" s="42"/>
      <c r="R199" s="44"/>
      <c r="S199" s="44"/>
      <c r="T199" s="51"/>
      <c r="AG199" s="121">
        <f>AG198</f>
        <v>120</v>
      </c>
      <c r="AH199" s="120">
        <f>AT200*1.1</f>
        <v>-2.09</v>
      </c>
      <c r="AJ199" s="120">
        <f t="shared" si="1"/>
        <v>6.4414490895022327</v>
      </c>
      <c r="AK199" s="120">
        <f>(($V$185*AL199)/(0.00237*-1.35*$C$18))^0.5</f>
        <v>4.6598825117922544</v>
      </c>
      <c r="AL199" s="120">
        <f t="shared" si="2"/>
        <v>-5.4746740352800962E-3</v>
      </c>
      <c r="AN199" s="120">
        <f>$W$185*(AO199^0.5)*$AT$187/($W$185*$C$35^0.5)</f>
        <v>6.4414490895022336</v>
      </c>
      <c r="AO199" s="120">
        <f t="shared" si="3"/>
        <v>1.0949348070560192E-2</v>
      </c>
      <c r="AR199" s="122" t="s">
        <v>106</v>
      </c>
      <c r="AS199" s="122" t="s">
        <v>101</v>
      </c>
      <c r="AT199" s="121">
        <f>AT187</f>
        <v>120</v>
      </c>
    </row>
    <row r="200" spans="2:46" s="120" customFormat="1" ht="12.75" x14ac:dyDescent="0.2">
      <c r="F200" s="123"/>
      <c r="M200" s="44"/>
      <c r="N200" s="42"/>
      <c r="O200" s="42"/>
      <c r="P200" s="42"/>
      <c r="Q200" s="42"/>
      <c r="R200" s="44"/>
      <c r="S200" s="44"/>
      <c r="T200" s="51"/>
      <c r="AJ200" s="120">
        <f t="shared" si="1"/>
        <v>4.5547923318549417</v>
      </c>
      <c r="AK200" s="120">
        <f>(($V$185*AL200)/(0.00237*-1.35*$C$18))^0.5</f>
        <v>3.2950345236209051</v>
      </c>
      <c r="AL200" s="120">
        <f t="shared" si="2"/>
        <v>-2.7373370176400481E-3</v>
      </c>
      <c r="AN200" s="120">
        <f>$W$185*(AO200^0.5)*$AT$187/($W$185*$C$35^0.5)</f>
        <v>4.5547923318549417</v>
      </c>
      <c r="AO200" s="120">
        <f t="shared" si="3"/>
        <v>5.4746740352800962E-3</v>
      </c>
      <c r="AS200" s="122" t="s">
        <v>102</v>
      </c>
      <c r="AT200" s="120">
        <f>C36</f>
        <v>-1.9</v>
      </c>
    </row>
    <row r="201" spans="2:46" s="120" customFormat="1" ht="12.75" x14ac:dyDescent="0.2">
      <c r="F201" s="123"/>
      <c r="M201" s="44"/>
      <c r="N201" s="42"/>
      <c r="O201" s="42"/>
      <c r="P201" s="42"/>
      <c r="Q201" s="42"/>
      <c r="R201" s="44"/>
      <c r="S201" s="44"/>
      <c r="T201" s="51"/>
      <c r="AG201" s="121">
        <f>AT196</f>
        <v>160</v>
      </c>
      <c r="AH201" s="120">
        <f>AT204*1.1</f>
        <v>4.5591245223298298</v>
      </c>
      <c r="AJ201" s="120">
        <f t="shared" si="1"/>
        <v>3.2207245447511164</v>
      </c>
      <c r="AK201" s="120">
        <f>(($V$185*AL201)/(0.00237*-1.35*$C$18))^0.5</f>
        <v>2.3299412558961272</v>
      </c>
      <c r="AL201" s="120">
        <f t="shared" si="2"/>
        <v>-1.3686685088200241E-3</v>
      </c>
      <c r="AN201" s="120">
        <f>$W$185*(AO201^0.5)*$AT$187/($W$185*$C$35^0.5)</f>
        <v>3.2207245447511168</v>
      </c>
      <c r="AO201" s="120">
        <f t="shared" si="3"/>
        <v>2.7373370176400481E-3</v>
      </c>
    </row>
    <row r="202" spans="2:46" s="120" customFormat="1" ht="12.75" x14ac:dyDescent="0.2">
      <c r="F202" s="123"/>
      <c r="M202" s="44"/>
      <c r="N202" s="42"/>
      <c r="O202" s="42"/>
      <c r="P202" s="42"/>
      <c r="Q202" s="42"/>
      <c r="R202" s="44"/>
      <c r="S202" s="44"/>
      <c r="T202" s="51"/>
      <c r="AG202" s="121">
        <f>AG201</f>
        <v>160</v>
      </c>
      <c r="AH202" s="120">
        <f>AT197*1.1</f>
        <v>-2.4314701702383235</v>
      </c>
      <c r="AK202" s="120">
        <f>(($V$185*AL202)/(0.00237*-1.35*$C$18))^0.5</f>
        <v>0</v>
      </c>
      <c r="AL202" s="120">
        <v>0</v>
      </c>
      <c r="AN202" s="120">
        <v>0</v>
      </c>
      <c r="AO202" s="120">
        <v>0</v>
      </c>
    </row>
    <row r="203" spans="2:46" s="120" customFormat="1" ht="12.75" x14ac:dyDescent="0.2">
      <c r="M203" s="44"/>
      <c r="N203" s="42"/>
      <c r="O203" s="42"/>
      <c r="P203" s="42"/>
      <c r="Q203" s="42"/>
      <c r="R203" s="44"/>
      <c r="S203" s="44"/>
      <c r="T203" s="51"/>
      <c r="AR203" s="122" t="s">
        <v>107</v>
      </c>
      <c r="AS203" s="122" t="s">
        <v>101</v>
      </c>
      <c r="AT203" s="121">
        <f>AT196</f>
        <v>160</v>
      </c>
    </row>
    <row r="204" spans="2:46" s="120" customFormat="1" ht="12.75" x14ac:dyDescent="0.2">
      <c r="M204" s="44"/>
      <c r="N204" s="42"/>
      <c r="O204" s="42"/>
      <c r="P204" s="42"/>
      <c r="Q204" s="42"/>
      <c r="R204" s="44"/>
      <c r="S204" s="44"/>
      <c r="T204" s="51"/>
      <c r="AR204" s="122"/>
      <c r="AS204" s="122" t="s">
        <v>102</v>
      </c>
      <c r="AT204" s="127">
        <f>C110</f>
        <v>4.1446586566634815</v>
      </c>
    </row>
    <row r="205" spans="2:46" s="120" customFormat="1" ht="12.75" x14ac:dyDescent="0.2">
      <c r="M205" s="44"/>
      <c r="N205" s="42"/>
      <c r="O205" s="42"/>
      <c r="P205" s="42"/>
      <c r="Q205" s="42"/>
      <c r="R205" s="44"/>
      <c r="S205" s="44"/>
      <c r="T205" s="51"/>
    </row>
    <row r="206" spans="2:46" s="120" customFormat="1" ht="12.75" x14ac:dyDescent="0.2">
      <c r="M206" s="44"/>
      <c r="N206" s="42"/>
      <c r="O206" s="42"/>
      <c r="P206" s="42"/>
      <c r="Q206" s="42"/>
      <c r="R206" s="44"/>
      <c r="S206" s="44"/>
      <c r="T206" s="51"/>
    </row>
    <row r="207" spans="2:46" s="120" customFormat="1" ht="12.75" x14ac:dyDescent="0.2">
      <c r="B207" s="110" t="s">
        <v>108</v>
      </c>
      <c r="F207" s="123"/>
      <c r="M207" s="44"/>
      <c r="N207" s="42"/>
      <c r="O207" s="42"/>
      <c r="P207" s="42"/>
      <c r="Q207" s="42"/>
      <c r="R207" s="44"/>
      <c r="S207" s="44"/>
      <c r="T207" s="51"/>
    </row>
    <row r="208" spans="2:46" s="120" customFormat="1" ht="12.75" x14ac:dyDescent="0.2">
      <c r="M208" s="44"/>
      <c r="N208" s="42"/>
      <c r="O208" s="42"/>
      <c r="P208" s="42"/>
      <c r="Q208" s="42"/>
      <c r="R208" s="44"/>
      <c r="S208" s="44"/>
      <c r="T208" s="51"/>
      <c r="V208" s="120">
        <f>C21</f>
        <v>1700</v>
      </c>
      <c r="W208" s="120">
        <v>61</v>
      </c>
    </row>
    <row r="209" spans="5:46" s="120" customFormat="1" ht="12.75" x14ac:dyDescent="0.2">
      <c r="M209" s="44"/>
      <c r="N209" s="42"/>
      <c r="O209" s="42"/>
      <c r="P209" s="42"/>
      <c r="Q209" s="42"/>
      <c r="R209" s="44"/>
      <c r="S209" s="44"/>
      <c r="T209" s="51"/>
      <c r="AJ209" s="121">
        <f>AN209</f>
        <v>120</v>
      </c>
      <c r="AK209" s="120">
        <f>AK186</f>
        <v>86.810575329453073</v>
      </c>
      <c r="AL209" s="120">
        <f>AT223</f>
        <v>-1.9</v>
      </c>
      <c r="AN209" s="121">
        <f>AT210</f>
        <v>120</v>
      </c>
      <c r="AO209" s="120">
        <v>3.8</v>
      </c>
    </row>
    <row r="210" spans="5:46" s="120" customFormat="1" ht="13.5" customHeight="1" x14ac:dyDescent="0.2">
      <c r="M210" s="44"/>
      <c r="N210" s="42"/>
      <c r="O210" s="42"/>
      <c r="P210" s="42"/>
      <c r="Q210" s="42"/>
      <c r="R210" s="44"/>
      <c r="S210" s="44"/>
      <c r="T210" s="51"/>
      <c r="V210" s="5"/>
      <c r="W210" s="5"/>
      <c r="X210" s="5"/>
      <c r="Y210" s="5"/>
      <c r="Z210" s="5"/>
      <c r="AA210" s="5"/>
      <c r="AB210" s="5"/>
      <c r="AC210" s="5"/>
      <c r="AD210" s="5"/>
      <c r="AE210" s="5"/>
      <c r="AF210" s="5"/>
      <c r="AG210" s="5"/>
      <c r="AJ210" s="120">
        <f t="shared" ref="AJ210:AJ224" si="4">$AJ$209*AK210/$AK$209</f>
        <v>114.41551070947108</v>
      </c>
      <c r="AK210" s="120">
        <f t="shared" ref="AK210:AK225" si="5">AK187</f>
        <v>82.770635927519862</v>
      </c>
      <c r="AL210" s="120">
        <f>AL209/1.1</f>
        <v>-1.7272727272727271</v>
      </c>
      <c r="AN210" s="120">
        <f>AN187</f>
        <v>114.41551070947108</v>
      </c>
      <c r="AO210" s="120">
        <f>AO209/1.1</f>
        <v>3.4545454545454541</v>
      </c>
      <c r="AR210" s="122" t="s">
        <v>100</v>
      </c>
      <c r="AS210" s="122" t="s">
        <v>101</v>
      </c>
      <c r="AT210" s="121">
        <f>AT187</f>
        <v>120</v>
      </c>
    </row>
    <row r="211" spans="5:46" s="120" customFormat="1" ht="12.75" x14ac:dyDescent="0.2">
      <c r="M211" s="44"/>
      <c r="N211" s="42"/>
      <c r="O211" s="42"/>
      <c r="P211" s="42"/>
      <c r="Q211" s="42"/>
      <c r="R211" s="44"/>
      <c r="S211" s="44"/>
      <c r="T211" s="51"/>
      <c r="V211" s="5"/>
      <c r="W211" s="5"/>
      <c r="X211" s="5"/>
      <c r="Y211" s="5"/>
      <c r="Z211" s="5"/>
      <c r="AA211" s="5"/>
      <c r="AB211" s="5"/>
      <c r="AC211" s="5"/>
      <c r="AD211" s="5"/>
      <c r="AE211" s="5"/>
      <c r="AF211" s="5"/>
      <c r="AG211" s="5"/>
      <c r="AJ211" s="120">
        <f t="shared" si="4"/>
        <v>104.4465935734187</v>
      </c>
      <c r="AK211" s="120">
        <f t="shared" si="5"/>
        <v>75.558907327583611</v>
      </c>
      <c r="AL211" s="120">
        <f>AL210/1.2</f>
        <v>-1.4393939393939392</v>
      </c>
      <c r="AN211" s="120">
        <f t="shared" ref="AN211:AN224" si="6">AN188</f>
        <v>104.4465935734187</v>
      </c>
      <c r="AO211" s="120">
        <f>AO210/1.2</f>
        <v>2.8787878787878785</v>
      </c>
      <c r="AR211" s="122"/>
      <c r="AS211" s="122" t="s">
        <v>102</v>
      </c>
      <c r="AT211" s="120">
        <f>AT188</f>
        <v>3.8</v>
      </c>
    </row>
    <row r="212" spans="5:46" s="120" customFormat="1" ht="12.75" x14ac:dyDescent="0.2">
      <c r="M212" s="44"/>
      <c r="N212" s="42"/>
      <c r="O212" s="42"/>
      <c r="P212" s="42"/>
      <c r="Q212" s="42"/>
      <c r="R212" s="44"/>
      <c r="S212" s="44"/>
      <c r="T212" s="51"/>
      <c r="AJ212" s="120">
        <f t="shared" si="4"/>
        <v>91.605722482868885</v>
      </c>
      <c r="AK212" s="120">
        <f t="shared" si="5"/>
        <v>66.269545601733853</v>
      </c>
      <c r="AL212" s="120">
        <f>AL211/1.3</f>
        <v>-1.1072261072261071</v>
      </c>
      <c r="AN212" s="120">
        <f t="shared" si="6"/>
        <v>91.605722482868885</v>
      </c>
      <c r="AO212" s="120">
        <f>AO211/1.3</f>
        <v>2.2144522144522143</v>
      </c>
      <c r="AR212" s="122"/>
      <c r="AS212" s="122"/>
    </row>
    <row r="213" spans="5:46" s="120" customFormat="1" ht="12.75" x14ac:dyDescent="0.2">
      <c r="M213" s="44"/>
      <c r="N213" s="42"/>
      <c r="O213" s="42"/>
      <c r="P213" s="42"/>
      <c r="Q213" s="42"/>
      <c r="R213" s="44"/>
      <c r="S213" s="44"/>
      <c r="T213" s="51"/>
      <c r="W213" s="120">
        <v>0</v>
      </c>
      <c r="X213" s="120">
        <v>1</v>
      </c>
      <c r="Y213" s="120">
        <v>1</v>
      </c>
      <c r="Z213" s="120">
        <v>1</v>
      </c>
      <c r="AA213" s="120">
        <v>1</v>
      </c>
      <c r="AJ213" s="120">
        <f t="shared" si="4"/>
        <v>77.420966113876361</v>
      </c>
      <c r="AK213" s="120">
        <f t="shared" si="5"/>
        <v>56.007988424230817</v>
      </c>
      <c r="AL213" s="120">
        <f>AL212/1.4</f>
        <v>-0.79087579087579085</v>
      </c>
      <c r="AN213" s="120">
        <f t="shared" si="6"/>
        <v>77.420966113876389</v>
      </c>
      <c r="AO213" s="120">
        <f>AO212/1.4</f>
        <v>1.5817515817515817</v>
      </c>
      <c r="AR213" s="122" t="s">
        <v>103</v>
      </c>
      <c r="AS213" s="122" t="s">
        <v>101</v>
      </c>
      <c r="AT213" s="121">
        <f>AT190</f>
        <v>190</v>
      </c>
    </row>
    <row r="214" spans="5:46" s="120" customFormat="1" ht="12.75" x14ac:dyDescent="0.2">
      <c r="F214" s="123"/>
      <c r="G214" s="123"/>
      <c r="M214" s="44"/>
      <c r="N214" s="42"/>
      <c r="O214" s="42"/>
      <c r="P214" s="42"/>
      <c r="Q214" s="42"/>
      <c r="R214" s="44"/>
      <c r="S214" s="44"/>
      <c r="T214" s="51"/>
      <c r="W214" s="121">
        <f>AG215</f>
        <v>120</v>
      </c>
      <c r="X214" s="124">
        <f>AH215</f>
        <v>3.8</v>
      </c>
      <c r="Y214" s="124">
        <f>AT223</f>
        <v>-1.9</v>
      </c>
      <c r="AD214" s="121">
        <f>AT210</f>
        <v>120</v>
      </c>
      <c r="AE214" s="120">
        <f>AT211</f>
        <v>3.8</v>
      </c>
      <c r="AJ214" s="120">
        <f t="shared" si="4"/>
        <v>63.213954124101384</v>
      </c>
      <c r="AK214" s="120">
        <f t="shared" si="5"/>
        <v>45.730331053024116</v>
      </c>
      <c r="AL214" s="120">
        <f>AL213/1.5</f>
        <v>-0.52725052725052723</v>
      </c>
      <c r="AN214" s="120">
        <f t="shared" si="6"/>
        <v>63.213954124101392</v>
      </c>
      <c r="AO214" s="120">
        <f>AO213/1.5</f>
        <v>1.0545010545010545</v>
      </c>
      <c r="AR214" s="122"/>
      <c r="AS214" s="122" t="s">
        <v>102</v>
      </c>
      <c r="AT214" s="124">
        <f>AT211</f>
        <v>3.8</v>
      </c>
    </row>
    <row r="215" spans="5:46" s="120" customFormat="1" ht="12.75" x14ac:dyDescent="0.2">
      <c r="F215" s="123"/>
      <c r="M215" s="44"/>
      <c r="N215" s="42"/>
      <c r="O215" s="42"/>
      <c r="P215" s="42"/>
      <c r="Q215" s="42"/>
      <c r="R215" s="44"/>
      <c r="S215" s="44"/>
      <c r="T215" s="51"/>
      <c r="AD215" s="121">
        <f>AT226</f>
        <v>160</v>
      </c>
      <c r="AE215" s="124">
        <f>AT227</f>
        <v>4.4925653815640638</v>
      </c>
      <c r="AG215" s="121">
        <f>AD214</f>
        <v>120</v>
      </c>
      <c r="AH215" s="124">
        <f>AE214</f>
        <v>3.8</v>
      </c>
      <c r="AJ215" s="120">
        <f t="shared" si="4"/>
        <v>49.975018734388655</v>
      </c>
      <c r="AK215" s="120">
        <f t="shared" si="5"/>
        <v>36.153001070270626</v>
      </c>
      <c r="AL215" s="120">
        <f>AL214/1.6</f>
        <v>-0.32953157953157952</v>
      </c>
      <c r="AN215" s="120">
        <f t="shared" si="6"/>
        <v>49.975018734388655</v>
      </c>
      <c r="AO215" s="120">
        <f>AO214/1.6</f>
        <v>0.65906315906315904</v>
      </c>
      <c r="AR215" s="122"/>
      <c r="AS215" s="122"/>
    </row>
    <row r="216" spans="5:46" s="120" customFormat="1" ht="12.75" x14ac:dyDescent="0.2">
      <c r="F216" s="123"/>
      <c r="M216" s="44"/>
      <c r="N216" s="42"/>
      <c r="O216" s="42"/>
      <c r="P216" s="42"/>
      <c r="Q216" s="42"/>
      <c r="R216" s="44"/>
      <c r="S216" s="44"/>
      <c r="T216" s="51"/>
      <c r="AD216" s="121">
        <f>AT213</f>
        <v>190</v>
      </c>
      <c r="AE216" s="124">
        <f>AT214</f>
        <v>3.8</v>
      </c>
      <c r="AG216" s="121">
        <f>AD216</f>
        <v>190</v>
      </c>
      <c r="AH216" s="124">
        <f>AH215</f>
        <v>3.8</v>
      </c>
      <c r="AJ216" s="120">
        <f t="shared" si="4"/>
        <v>47.649310760087197</v>
      </c>
      <c r="AK216" s="120">
        <f t="shared" si="5"/>
        <v>34.470534009458902</v>
      </c>
      <c r="AL216" s="120">
        <f>AL215/1.1</f>
        <v>-0.29957416321052682</v>
      </c>
      <c r="AN216" s="120">
        <f t="shared" si="6"/>
        <v>47.649310760087197</v>
      </c>
      <c r="AO216" s="120">
        <f>AO215/1.1</f>
        <v>0.59914832642105365</v>
      </c>
      <c r="AR216" s="122" t="s">
        <v>104</v>
      </c>
      <c r="AS216" s="122" t="s">
        <v>101</v>
      </c>
      <c r="AT216" s="121">
        <f>AT193</f>
        <v>190</v>
      </c>
    </row>
    <row r="217" spans="5:46" s="120" customFormat="1" ht="12.75" x14ac:dyDescent="0.2">
      <c r="F217" s="123"/>
      <c r="M217" s="44"/>
      <c r="N217" s="42"/>
      <c r="O217" s="42"/>
      <c r="P217" s="42"/>
      <c r="Q217" s="42"/>
      <c r="R217" s="44"/>
      <c r="S217" s="44"/>
      <c r="T217" s="51"/>
      <c r="W217" s="120">
        <v>0</v>
      </c>
      <c r="Z217" s="120">
        <v>1</v>
      </c>
      <c r="AA217" s="120">
        <v>1</v>
      </c>
      <c r="AD217" s="121">
        <f>AD216</f>
        <v>190</v>
      </c>
      <c r="AE217" s="124">
        <f>AT217</f>
        <v>-1.9</v>
      </c>
      <c r="AG217" s="121"/>
      <c r="AH217" s="125"/>
      <c r="AJ217" s="120">
        <f t="shared" si="4"/>
        <v>35.515699313522376</v>
      </c>
      <c r="AK217" s="120">
        <f t="shared" si="5"/>
        <v>25.692819088622826</v>
      </c>
      <c r="AL217" s="120">
        <f>AL216/1.8</f>
        <v>-0.16643009067251491</v>
      </c>
      <c r="AN217" s="120">
        <f t="shared" si="6"/>
        <v>35.515699313522383</v>
      </c>
      <c r="AO217" s="120">
        <f>AO216/1.8</f>
        <v>0.33286018134502982</v>
      </c>
      <c r="AR217" s="122"/>
      <c r="AS217" s="122" t="s">
        <v>102</v>
      </c>
      <c r="AT217" s="124">
        <f>C36</f>
        <v>-1.9</v>
      </c>
    </row>
    <row r="218" spans="5:46" s="120" customFormat="1" ht="12.75" x14ac:dyDescent="0.2">
      <c r="E218" s="126"/>
      <c r="M218" s="44"/>
      <c r="N218" s="42"/>
      <c r="O218" s="42"/>
      <c r="P218" s="42"/>
      <c r="Q218" s="42"/>
      <c r="R218" s="44"/>
      <c r="S218" s="44"/>
      <c r="T218" s="51"/>
      <c r="W218" s="121">
        <f>AT213</f>
        <v>190</v>
      </c>
      <c r="Z218" s="124">
        <f>AH216</f>
        <v>3.8</v>
      </c>
      <c r="AA218" s="124">
        <f>AT223</f>
        <v>-1.9</v>
      </c>
      <c r="AD218" s="121">
        <f>AT219</f>
        <v>160</v>
      </c>
      <c r="AE218" s="124">
        <f>AT220</f>
        <v>-2.5007680302464017</v>
      </c>
      <c r="AG218" s="121">
        <f>AG215</f>
        <v>120</v>
      </c>
      <c r="AH218" s="124">
        <f>AT223</f>
        <v>-1.9</v>
      </c>
      <c r="AJ218" s="120">
        <f t="shared" si="4"/>
        <v>25.765796358008931</v>
      </c>
      <c r="AK218" s="120">
        <f t="shared" si="5"/>
        <v>18.639530047169018</v>
      </c>
      <c r="AL218" s="120">
        <f>AL217/1.9</f>
        <v>-8.759478456448154E-2</v>
      </c>
      <c r="AN218" s="120">
        <f t="shared" si="6"/>
        <v>25.765796358008934</v>
      </c>
      <c r="AO218" s="120">
        <f>AO217/1.9</f>
        <v>0.17518956912896308</v>
      </c>
      <c r="AR218" s="122"/>
      <c r="AS218" s="122"/>
    </row>
    <row r="219" spans="5:46" s="120" customFormat="1" ht="12.75" x14ac:dyDescent="0.2">
      <c r="M219" s="44"/>
      <c r="N219" s="42"/>
      <c r="O219" s="42"/>
      <c r="P219" s="42"/>
      <c r="Q219" s="42"/>
      <c r="R219" s="44"/>
      <c r="S219" s="44"/>
      <c r="T219" s="51"/>
      <c r="AD219" s="121">
        <f>AT222</f>
        <v>120</v>
      </c>
      <c r="AE219" s="124">
        <f>AT223</f>
        <v>-1.9</v>
      </c>
      <c r="AG219" s="121">
        <f>AG216</f>
        <v>190</v>
      </c>
      <c r="AH219" s="124">
        <f>AH218</f>
        <v>-1.9</v>
      </c>
      <c r="AJ219" s="120">
        <f t="shared" si="4"/>
        <v>18.219169327419767</v>
      </c>
      <c r="AK219" s="120">
        <f t="shared" si="5"/>
        <v>13.18013809448362</v>
      </c>
      <c r="AL219" s="120">
        <f t="shared" ref="AL219:AL224" si="7">AL218/2</f>
        <v>-4.379739228224077E-2</v>
      </c>
      <c r="AN219" s="120">
        <f t="shared" si="6"/>
        <v>18.219169327419767</v>
      </c>
      <c r="AO219" s="120">
        <f t="shared" ref="AO219:AO224" si="8">AO218/2</f>
        <v>8.759478456448154E-2</v>
      </c>
      <c r="AR219" s="122" t="s">
        <v>105</v>
      </c>
      <c r="AS219" s="122" t="s">
        <v>101</v>
      </c>
      <c r="AT219" s="121">
        <f>AT196</f>
        <v>160</v>
      </c>
    </row>
    <row r="220" spans="5:46" s="120" customFormat="1" ht="12.75" x14ac:dyDescent="0.2">
      <c r="M220" s="44"/>
      <c r="N220" s="42"/>
      <c r="O220" s="42"/>
      <c r="P220" s="42"/>
      <c r="Q220" s="42"/>
      <c r="R220" s="44"/>
      <c r="S220" s="44"/>
      <c r="T220" s="51"/>
      <c r="AJ220" s="120">
        <f t="shared" si="4"/>
        <v>12.882898179004465</v>
      </c>
      <c r="AK220" s="120">
        <f t="shared" si="5"/>
        <v>9.3197650235845089</v>
      </c>
      <c r="AL220" s="120">
        <f t="shared" si="7"/>
        <v>-2.1898696141120385E-2</v>
      </c>
      <c r="AN220" s="120">
        <f t="shared" si="6"/>
        <v>12.882898179004467</v>
      </c>
      <c r="AO220" s="120">
        <f t="shared" si="8"/>
        <v>4.379739228224077E-2</v>
      </c>
      <c r="AR220" s="122"/>
      <c r="AS220" s="122" t="s">
        <v>102</v>
      </c>
      <c r="AT220" s="124">
        <f>C170</f>
        <v>-2.5007680302464017</v>
      </c>
    </row>
    <row r="221" spans="5:46" s="120" customFormat="1" ht="12.75" x14ac:dyDescent="0.2">
      <c r="M221" s="44"/>
      <c r="N221" s="42"/>
      <c r="O221" s="42"/>
      <c r="P221" s="42"/>
      <c r="Q221" s="42"/>
      <c r="R221" s="44"/>
      <c r="S221" s="44"/>
      <c r="T221" s="51"/>
      <c r="AG221" s="121">
        <f>AT210</f>
        <v>120</v>
      </c>
      <c r="AH221" s="120">
        <f>AT211*1.1</f>
        <v>4.18</v>
      </c>
      <c r="AJ221" s="120">
        <f t="shared" si="4"/>
        <v>9.1095846637098834</v>
      </c>
      <c r="AK221" s="120">
        <f t="shared" si="5"/>
        <v>6.5900690472418102</v>
      </c>
      <c r="AL221" s="120">
        <f t="shared" si="7"/>
        <v>-1.0949348070560192E-2</v>
      </c>
      <c r="AN221" s="120">
        <f t="shared" si="6"/>
        <v>9.1095846637098834</v>
      </c>
      <c r="AO221" s="120">
        <f t="shared" si="8"/>
        <v>2.1898696141120385E-2</v>
      </c>
      <c r="AR221" s="122"/>
      <c r="AS221" s="122"/>
    </row>
    <row r="222" spans="5:46" s="120" customFormat="1" ht="12.75" x14ac:dyDescent="0.2">
      <c r="F222" s="123"/>
      <c r="M222" s="44"/>
      <c r="N222" s="42"/>
      <c r="O222" s="42"/>
      <c r="P222" s="42"/>
      <c r="Q222" s="42"/>
      <c r="R222" s="44"/>
      <c r="S222" s="44"/>
      <c r="T222" s="51"/>
      <c r="AG222" s="121">
        <f>AG221</f>
        <v>120</v>
      </c>
      <c r="AH222" s="120">
        <f>AT223*1.1</f>
        <v>-2.09</v>
      </c>
      <c r="AJ222" s="120">
        <f t="shared" si="4"/>
        <v>6.4414490895022327</v>
      </c>
      <c r="AK222" s="120">
        <f t="shared" si="5"/>
        <v>4.6598825117922544</v>
      </c>
      <c r="AL222" s="120">
        <f t="shared" si="7"/>
        <v>-5.4746740352800962E-3</v>
      </c>
      <c r="AN222" s="120">
        <f t="shared" si="6"/>
        <v>6.4414490895022336</v>
      </c>
      <c r="AO222" s="120">
        <f t="shared" si="8"/>
        <v>1.0949348070560192E-2</v>
      </c>
      <c r="AR222" s="122" t="s">
        <v>106</v>
      </c>
      <c r="AS222" s="122" t="s">
        <v>101</v>
      </c>
      <c r="AT222" s="121">
        <f>AT210</f>
        <v>120</v>
      </c>
    </row>
    <row r="223" spans="5:46" s="120" customFormat="1" ht="12.75" x14ac:dyDescent="0.2">
      <c r="F223" s="123"/>
      <c r="M223" s="44"/>
      <c r="N223" s="42"/>
      <c r="O223" s="42"/>
      <c r="P223" s="42"/>
      <c r="Q223" s="42"/>
      <c r="R223" s="44"/>
      <c r="S223" s="44"/>
      <c r="T223" s="51"/>
      <c r="AJ223" s="120">
        <f t="shared" si="4"/>
        <v>4.5547923318549417</v>
      </c>
      <c r="AK223" s="120">
        <f t="shared" si="5"/>
        <v>3.2950345236209051</v>
      </c>
      <c r="AL223" s="120">
        <f t="shared" si="7"/>
        <v>-2.7373370176400481E-3</v>
      </c>
      <c r="AN223" s="120">
        <f t="shared" si="6"/>
        <v>4.5547923318549417</v>
      </c>
      <c r="AO223" s="120">
        <f t="shared" si="8"/>
        <v>5.4746740352800962E-3</v>
      </c>
      <c r="AS223" s="122" t="s">
        <v>102</v>
      </c>
      <c r="AT223" s="124">
        <f>AT217</f>
        <v>-1.9</v>
      </c>
    </row>
    <row r="224" spans="5:46" s="120" customFormat="1" ht="12.75" x14ac:dyDescent="0.2">
      <c r="F224" s="123"/>
      <c r="M224" s="44"/>
      <c r="N224" s="42"/>
      <c r="O224" s="42"/>
      <c r="P224" s="42"/>
      <c r="Q224" s="42"/>
      <c r="R224" s="44"/>
      <c r="S224" s="44"/>
      <c r="T224" s="51"/>
      <c r="AG224" s="121">
        <f>AT219</f>
        <v>160</v>
      </c>
      <c r="AH224" s="120">
        <f>AT227*1.1</f>
        <v>4.9418219197204705</v>
      </c>
      <c r="AJ224" s="120">
        <f t="shared" si="4"/>
        <v>3.2207245447511164</v>
      </c>
      <c r="AK224" s="120">
        <f t="shared" si="5"/>
        <v>2.3299412558961272</v>
      </c>
      <c r="AL224" s="120">
        <f t="shared" si="7"/>
        <v>-1.3686685088200241E-3</v>
      </c>
      <c r="AN224" s="120">
        <f t="shared" si="6"/>
        <v>3.2207245447511168</v>
      </c>
      <c r="AO224" s="120">
        <f t="shared" si="8"/>
        <v>2.7373370176400481E-3</v>
      </c>
    </row>
    <row r="225" spans="1:46" s="120" customFormat="1" ht="12.75" x14ac:dyDescent="0.2">
      <c r="F225" s="123"/>
      <c r="M225" s="44"/>
      <c r="N225" s="42"/>
      <c r="O225" s="42"/>
      <c r="P225" s="42"/>
      <c r="Q225" s="42"/>
      <c r="R225" s="44"/>
      <c r="S225" s="44"/>
      <c r="T225" s="51"/>
      <c r="AG225" s="121">
        <f>AG224</f>
        <v>160</v>
      </c>
      <c r="AH225" s="120">
        <f>AT220*1.1</f>
        <v>-2.7508448332710422</v>
      </c>
      <c r="AK225" s="120">
        <f t="shared" si="5"/>
        <v>0</v>
      </c>
      <c r="AL225" s="120">
        <v>0</v>
      </c>
      <c r="AN225" s="120">
        <v>0</v>
      </c>
      <c r="AO225" s="120">
        <v>0</v>
      </c>
    </row>
    <row r="226" spans="1:46" s="120" customFormat="1" ht="12.75" x14ac:dyDescent="0.2">
      <c r="M226" s="44"/>
      <c r="N226" s="42"/>
      <c r="O226" s="42"/>
      <c r="P226" s="42"/>
      <c r="Q226" s="42"/>
      <c r="R226" s="44"/>
      <c r="S226" s="44"/>
      <c r="T226" s="51"/>
      <c r="AR226" s="122" t="s">
        <v>107</v>
      </c>
      <c r="AS226" s="122" t="s">
        <v>101</v>
      </c>
      <c r="AT226" s="121">
        <f>AT219</f>
        <v>160</v>
      </c>
    </row>
    <row r="227" spans="1:46" s="120" customFormat="1" ht="12.75" x14ac:dyDescent="0.2">
      <c r="M227" s="44"/>
      <c r="N227" s="42"/>
      <c r="O227" s="42"/>
      <c r="P227" s="42"/>
      <c r="Q227" s="42"/>
      <c r="R227" s="44"/>
      <c r="S227" s="44"/>
      <c r="T227" s="51"/>
      <c r="AR227" s="122"/>
      <c r="AS227" s="122" t="s">
        <v>102</v>
      </c>
      <c r="AT227" s="127">
        <f>C113</f>
        <v>4.4925653815640638</v>
      </c>
    </row>
    <row r="228" spans="1:46" s="120" customFormat="1" ht="12.75" x14ac:dyDescent="0.2">
      <c r="M228" s="44"/>
      <c r="N228" s="42"/>
      <c r="O228" s="42"/>
      <c r="P228" s="42"/>
      <c r="Q228" s="42"/>
      <c r="R228" s="44"/>
      <c r="S228" s="44"/>
      <c r="T228" s="51"/>
    </row>
    <row r="229" spans="1:46" s="120" customFormat="1" ht="12.75" x14ac:dyDescent="0.2">
      <c r="M229" s="44"/>
      <c r="N229" s="42"/>
      <c r="O229" s="42"/>
      <c r="P229" s="42"/>
      <c r="Q229" s="42"/>
      <c r="R229" s="44"/>
      <c r="S229" s="44"/>
      <c r="T229" s="51"/>
    </row>
    <row r="230" spans="1:46" s="120" customFormat="1" ht="12.75" x14ac:dyDescent="0.2">
      <c r="M230" s="44"/>
      <c r="N230" s="42"/>
      <c r="O230" s="42"/>
      <c r="P230" s="42"/>
      <c r="Q230" s="42"/>
      <c r="R230" s="44"/>
      <c r="S230" s="44"/>
      <c r="T230" s="51"/>
    </row>
    <row r="231" spans="1:46" s="120" customFormat="1" ht="12.75" x14ac:dyDescent="0.2">
      <c r="M231" s="44"/>
      <c r="N231" s="42"/>
      <c r="O231" s="42"/>
      <c r="P231" s="42"/>
      <c r="Q231" s="42"/>
      <c r="R231" s="44"/>
      <c r="S231" s="44"/>
      <c r="T231" s="51"/>
    </row>
    <row r="232" spans="1:46" s="120" customFormat="1" ht="12.75" x14ac:dyDescent="0.2">
      <c r="M232" s="44"/>
      <c r="N232" s="42"/>
      <c r="O232" s="42"/>
      <c r="P232" s="42"/>
      <c r="Q232" s="42"/>
      <c r="R232" s="44"/>
      <c r="S232" s="44"/>
      <c r="T232" s="51"/>
    </row>
    <row r="233" spans="1:46" s="120" customFormat="1" ht="12.75" x14ac:dyDescent="0.2">
      <c r="M233" s="44"/>
      <c r="N233" s="42"/>
      <c r="O233" s="42"/>
      <c r="P233" s="42"/>
      <c r="Q233" s="42"/>
      <c r="R233" s="44"/>
      <c r="S233" s="44"/>
      <c r="T233" s="51"/>
    </row>
    <row r="234" spans="1:46" s="120" customFormat="1" ht="12.75" x14ac:dyDescent="0.2">
      <c r="M234" s="44"/>
      <c r="N234" s="42"/>
      <c r="O234" s="42"/>
      <c r="P234" s="42"/>
      <c r="Q234" s="42"/>
      <c r="R234" s="44"/>
      <c r="S234" s="44"/>
      <c r="T234" s="51"/>
    </row>
    <row r="235" spans="1:46" s="120" customFormat="1" ht="12.75" x14ac:dyDescent="0.2">
      <c r="A235" s="98" t="s">
        <v>86</v>
      </c>
      <c r="B235" s="98"/>
      <c r="C235" s="98"/>
      <c r="D235" s="98"/>
      <c r="E235" s="98"/>
      <c r="F235" s="98"/>
      <c r="G235" s="99"/>
      <c r="H235" s="99"/>
      <c r="I235" s="99"/>
      <c r="J235" s="99"/>
      <c r="K235" s="100"/>
      <c r="M235" s="44"/>
      <c r="N235" s="42"/>
      <c r="O235" s="42"/>
      <c r="P235" s="42"/>
      <c r="Q235" s="42"/>
      <c r="R235" s="44"/>
      <c r="S235" s="44"/>
      <c r="T235" s="51"/>
    </row>
    <row r="236" spans="1:46" s="120" customFormat="1" ht="12.75" x14ac:dyDescent="0.2">
      <c r="A236" s="101"/>
      <c r="B236" s="101"/>
      <c r="C236" s="101"/>
      <c r="D236" s="102"/>
      <c r="E236" s="102"/>
      <c r="F236" s="103" t="s">
        <v>87</v>
      </c>
      <c r="G236" s="104" t="s">
        <v>88</v>
      </c>
      <c r="H236" s="105"/>
      <c r="I236" s="106"/>
      <c r="J236" s="106"/>
      <c r="K236" s="107"/>
      <c r="M236" s="44"/>
      <c r="N236" s="42"/>
      <c r="O236" s="42"/>
      <c r="P236" s="42"/>
      <c r="Q236" s="42"/>
      <c r="R236" s="44"/>
      <c r="S236" s="44"/>
      <c r="T236" s="51"/>
    </row>
    <row r="237" spans="1:46" s="120" customFormat="1" ht="12.75" x14ac:dyDescent="0.2">
      <c r="A237" s="14"/>
      <c r="B237" s="5"/>
      <c r="C237" s="5"/>
      <c r="D237" s="5"/>
      <c r="E237" s="15" t="s">
        <v>0</v>
      </c>
      <c r="F237" s="16" t="str">
        <f>$C$1</f>
        <v>R. Abbott</v>
      </c>
      <c r="G237" s="5"/>
      <c r="H237" s="17"/>
      <c r="I237" s="15" t="s">
        <v>46</v>
      </c>
      <c r="J237" s="18" t="str">
        <f>$G$2</f>
        <v>AA-SM-515-001</v>
      </c>
      <c r="K237" s="19"/>
      <c r="L237" s="20"/>
      <c r="M237" s="42"/>
      <c r="N237" s="42"/>
      <c r="O237" s="42"/>
      <c r="P237" s="42"/>
      <c r="Q237" s="42"/>
      <c r="R237" s="44"/>
      <c r="S237" s="44"/>
      <c r="T237" s="51"/>
    </row>
    <row r="238" spans="1:46" s="120" customFormat="1" ht="12.75" x14ac:dyDescent="0.2">
      <c r="A238" s="5"/>
      <c r="B238" s="5"/>
      <c r="C238" s="5"/>
      <c r="D238" s="5"/>
      <c r="E238" s="15" t="s">
        <v>3</v>
      </c>
      <c r="F238" s="17" t="str">
        <f>$C$2</f>
        <v xml:space="preserve"> </v>
      </c>
      <c r="G238" s="5"/>
      <c r="H238" s="17"/>
      <c r="I238" s="15" t="s">
        <v>47</v>
      </c>
      <c r="J238" s="19" t="str">
        <f>$G$3</f>
        <v>IR</v>
      </c>
      <c r="K238" s="19"/>
      <c r="L238" s="20"/>
      <c r="M238" s="42">
        <v>1</v>
      </c>
      <c r="N238" s="42"/>
      <c r="O238" s="42"/>
      <c r="P238" s="42"/>
      <c r="Q238" s="42"/>
      <c r="R238" s="44"/>
      <c r="S238" s="44"/>
      <c r="T238" s="51"/>
    </row>
    <row r="239" spans="1:46" s="120" customFormat="1" ht="12.75" x14ac:dyDescent="0.2">
      <c r="A239" s="5"/>
      <c r="B239" s="5"/>
      <c r="C239" s="5"/>
      <c r="D239" s="5"/>
      <c r="E239" s="15" t="s">
        <v>6</v>
      </c>
      <c r="F239" s="17" t="str">
        <f>$C$3</f>
        <v>05/03/2017</v>
      </c>
      <c r="G239" s="5"/>
      <c r="H239" s="17"/>
      <c r="I239" s="15" t="s">
        <v>48</v>
      </c>
      <c r="J239" s="16" t="str">
        <f>L239&amp;" of "&amp;$G$1</f>
        <v>5 of 6</v>
      </c>
      <c r="K239" s="17"/>
      <c r="L239" s="20">
        <f>SUM($M$1:M238)</f>
        <v>5</v>
      </c>
      <c r="M239" s="42"/>
      <c r="N239" s="42"/>
      <c r="O239" s="42"/>
      <c r="P239" s="42"/>
      <c r="Q239" s="42"/>
      <c r="R239" s="44"/>
      <c r="S239" s="44"/>
      <c r="T239" s="51"/>
    </row>
    <row r="240" spans="1:46" s="5" customFormat="1" ht="12.75" x14ac:dyDescent="0.2">
      <c r="E240" s="15" t="s">
        <v>49</v>
      </c>
      <c r="F240" s="17" t="str">
        <f>$C$5</f>
        <v>STANDARD SPREADSHEET METHOD</v>
      </c>
      <c r="I240" s="21"/>
      <c r="J240" s="16"/>
      <c r="M240" s="44"/>
      <c r="N240" s="42"/>
      <c r="O240" s="42"/>
      <c r="P240" s="42"/>
      <c r="Q240" s="42"/>
      <c r="R240" s="44"/>
      <c r="S240" s="44"/>
      <c r="T240" s="51"/>
    </row>
    <row r="241" spans="1:35" s="5" customFormat="1" x14ac:dyDescent="0.25">
      <c r="A241" s="48"/>
      <c r="B241" s="23" t="str">
        <f>$G$4</f>
        <v>SIMPLIFIED PART 23 AIRCRAFT LOADS - AIRCRAFT LOADS</v>
      </c>
      <c r="C241" s="49"/>
      <c r="D241" s="49"/>
      <c r="E241" s="50"/>
      <c r="F241" s="49"/>
      <c r="G241" s="49"/>
      <c r="H241" s="49"/>
      <c r="I241" s="49"/>
      <c r="J241" s="49"/>
      <c r="K241" s="49"/>
      <c r="L241" s="7"/>
      <c r="M241" s="44"/>
      <c r="N241" s="42"/>
      <c r="O241" s="42"/>
      <c r="P241" s="42"/>
      <c r="Q241" s="42"/>
      <c r="R241" s="44"/>
      <c r="S241" s="44"/>
      <c r="T241" s="51"/>
    </row>
    <row r="242" spans="1:35" s="5" customFormat="1" ht="12.75" x14ac:dyDescent="0.2">
      <c r="A242" s="52"/>
      <c r="B242" s="52" t="s">
        <v>50</v>
      </c>
      <c r="C242" s="52"/>
      <c r="D242" s="52"/>
      <c r="E242" s="52"/>
      <c r="F242" s="52"/>
      <c r="G242" s="52"/>
      <c r="H242" s="52"/>
      <c r="I242" s="52"/>
      <c r="J242" s="52"/>
      <c r="K242" s="52"/>
      <c r="L242" s="20"/>
      <c r="M242" s="44"/>
      <c r="N242" s="42"/>
      <c r="O242" s="42"/>
      <c r="P242" s="42"/>
      <c r="Q242" s="42"/>
      <c r="R242" s="44"/>
      <c r="S242" s="44"/>
      <c r="T242" s="51"/>
    </row>
    <row r="243" spans="1:35" s="5" customFormat="1" ht="12.75" x14ac:dyDescent="0.2">
      <c r="A243" s="52"/>
      <c r="B243" s="53" t="s">
        <v>109</v>
      </c>
      <c r="C243" s="52"/>
      <c r="D243" s="54"/>
      <c r="E243" s="52"/>
      <c r="F243" s="52"/>
      <c r="G243" s="52"/>
      <c r="H243" s="52"/>
      <c r="I243" s="52"/>
      <c r="J243" s="52"/>
      <c r="K243" s="52"/>
      <c r="M243" s="44"/>
      <c r="N243" s="42"/>
      <c r="O243" s="42"/>
      <c r="P243" s="42"/>
      <c r="Q243" s="42"/>
      <c r="R243" s="44"/>
      <c r="S243" s="44"/>
      <c r="T243" s="51"/>
    </row>
    <row r="244" spans="1:35" s="5" customFormat="1" ht="12.75" x14ac:dyDescent="0.2">
      <c r="A244" s="52"/>
      <c r="B244" s="52"/>
      <c r="C244" s="52"/>
      <c r="D244" s="54"/>
      <c r="E244" s="52"/>
      <c r="F244" s="52"/>
      <c r="G244" s="52"/>
      <c r="H244" s="52"/>
      <c r="I244" s="52"/>
      <c r="J244" s="52"/>
      <c r="K244" s="52"/>
      <c r="M244" s="44"/>
      <c r="N244" s="42"/>
      <c r="O244" s="42"/>
      <c r="P244" s="42"/>
      <c r="Q244" s="42"/>
      <c r="R244" s="44"/>
      <c r="S244" s="44"/>
      <c r="T244" s="51"/>
      <c r="V244" s="55"/>
      <c r="W244" s="55"/>
      <c r="AC244" s="15"/>
    </row>
    <row r="245" spans="1:35" s="5" customFormat="1" ht="13.5" customHeight="1" x14ac:dyDescent="0.2">
      <c r="A245" s="52"/>
      <c r="B245" s="5" t="s">
        <v>90</v>
      </c>
      <c r="D245" s="54"/>
      <c r="E245" s="52"/>
      <c r="F245" s="52"/>
      <c r="G245" s="52"/>
      <c r="H245" s="52"/>
      <c r="I245" s="52"/>
      <c r="J245" s="52"/>
      <c r="K245" s="52"/>
      <c r="L245" s="7"/>
      <c r="M245" s="44"/>
      <c r="N245" s="42"/>
      <c r="O245" s="42"/>
      <c r="P245" s="42"/>
      <c r="Q245" s="42"/>
      <c r="R245" s="44"/>
      <c r="S245" s="44"/>
      <c r="T245" s="51"/>
      <c r="U245" s="7"/>
      <c r="V245" s="55"/>
      <c r="W245" s="55"/>
      <c r="X245" s="7"/>
      <c r="Z245" s="20"/>
      <c r="AA245" s="56"/>
      <c r="AB245" s="56"/>
    </row>
    <row r="246" spans="1:35" s="5" customFormat="1" ht="12.75" x14ac:dyDescent="0.2">
      <c r="A246" s="52"/>
      <c r="B246" s="54" t="s">
        <v>92</v>
      </c>
      <c r="C246" s="5" t="str">
        <f>[2]!xln(C247)</f>
        <v>3.8 × 12.7</v>
      </c>
      <c r="D246" s="52"/>
      <c r="E246" s="52"/>
      <c r="F246" s="52"/>
      <c r="G246" s="52"/>
      <c r="H246" s="52"/>
      <c r="I246" s="52"/>
      <c r="J246" s="52"/>
      <c r="K246" s="52"/>
      <c r="L246" s="7"/>
      <c r="M246" s="44"/>
      <c r="N246" s="42"/>
      <c r="O246" s="42"/>
      <c r="P246" s="42"/>
      <c r="Q246" s="42"/>
      <c r="R246" s="44"/>
      <c r="S246" s="44"/>
      <c r="T246" s="51"/>
      <c r="U246" s="7"/>
      <c r="V246" s="55"/>
      <c r="W246" s="55"/>
      <c r="X246" s="7"/>
      <c r="Z246" s="56"/>
      <c r="AA246" s="20"/>
      <c r="AB246" s="61"/>
    </row>
    <row r="247" spans="1:35" s="5" customFormat="1" ht="12.75" x14ac:dyDescent="0.2">
      <c r="A247" s="52"/>
      <c r="B247" s="54" t="s">
        <v>78</v>
      </c>
      <c r="C247" s="85">
        <f>C35*C19</f>
        <v>48.223350253807105</v>
      </c>
      <c r="D247" s="92" t="s">
        <v>93</v>
      </c>
      <c r="E247" s="52"/>
      <c r="F247" s="52"/>
      <c r="G247" s="52"/>
      <c r="H247" s="52"/>
      <c r="I247" s="52"/>
      <c r="J247" s="52"/>
      <c r="K247" s="52"/>
      <c r="L247" s="7"/>
      <c r="M247" s="44"/>
      <c r="N247" s="42"/>
      <c r="O247" s="42"/>
      <c r="P247" s="42"/>
      <c r="Q247" s="42"/>
      <c r="R247" s="44"/>
      <c r="S247" s="44"/>
      <c r="T247" s="51"/>
      <c r="U247" s="7"/>
      <c r="V247" s="55"/>
      <c r="W247" s="55"/>
      <c r="X247" s="55">
        <v>0</v>
      </c>
      <c r="Z247" s="20"/>
      <c r="AA247" s="20"/>
      <c r="AB247" s="55">
        <f>C247</f>
        <v>48.223350253807105</v>
      </c>
      <c r="AC247" s="5">
        <f t="shared" ref="AC247" si="9">IF(AB247&lt;47,3.66*AB247^0.5,0.534*AB247)</f>
        <v>25.751269035532996</v>
      </c>
      <c r="AD247" s="20">
        <f t="shared" ref="AD247" si="10">4.8+0.534*AB247</f>
        <v>30.551269035532997</v>
      </c>
      <c r="AE247" s="63"/>
      <c r="AF247" s="62"/>
      <c r="AG247" s="62"/>
      <c r="AH247" s="62"/>
    </row>
    <row r="248" spans="1:35" s="5" customFormat="1" ht="12.75" x14ac:dyDescent="0.2">
      <c r="A248" s="52"/>
      <c r="B248" s="54"/>
      <c r="C248" s="71"/>
      <c r="D248" s="52"/>
      <c r="E248" s="52"/>
      <c r="F248" s="52"/>
      <c r="G248" s="52"/>
      <c r="H248" s="52"/>
      <c r="I248" s="52"/>
      <c r="J248" s="52"/>
      <c r="K248" s="52"/>
      <c r="L248" s="7"/>
      <c r="M248" s="44"/>
      <c r="N248" s="42"/>
      <c r="O248" s="42"/>
      <c r="P248" s="42"/>
      <c r="Q248" s="42"/>
      <c r="R248" s="44"/>
      <c r="S248" s="44"/>
      <c r="T248" s="51"/>
      <c r="U248" s="7"/>
      <c r="V248" s="55"/>
      <c r="W248" s="55"/>
      <c r="X248" s="55">
        <v>5</v>
      </c>
      <c r="Z248" s="20"/>
      <c r="AA248" s="20"/>
      <c r="AB248" s="61"/>
      <c r="AC248" s="62"/>
      <c r="AD248" s="62"/>
      <c r="AE248" s="62"/>
      <c r="AF248" s="62"/>
      <c r="AG248" s="62"/>
      <c r="AH248" s="62"/>
      <c r="AI248" s="27"/>
    </row>
    <row r="249" spans="1:35" s="5" customFormat="1" ht="12.75" x14ac:dyDescent="0.2">
      <c r="A249" s="66"/>
      <c r="B249" s="110" t="s">
        <v>110</v>
      </c>
      <c r="C249" s="66"/>
      <c r="D249" s="52"/>
      <c r="E249" s="52"/>
      <c r="F249" s="52"/>
      <c r="G249" s="52"/>
      <c r="H249" s="71"/>
      <c r="I249" s="52"/>
      <c r="J249" s="52"/>
      <c r="K249" s="52"/>
      <c r="L249" s="7"/>
      <c r="M249" s="42"/>
      <c r="N249" s="42"/>
      <c r="O249" s="42"/>
      <c r="P249" s="42"/>
      <c r="Q249" s="42"/>
      <c r="R249" s="42"/>
      <c r="S249" s="42"/>
      <c r="T249" s="42"/>
      <c r="U249" s="7"/>
      <c r="V249" s="55"/>
      <c r="W249" s="55"/>
      <c r="X249" s="55">
        <v>7</v>
      </c>
      <c r="Z249" s="20"/>
      <c r="AA249" s="20"/>
      <c r="AB249" s="61"/>
      <c r="AC249" s="68"/>
      <c r="AD249" s="68"/>
      <c r="AE249" s="68"/>
      <c r="AF249" s="68"/>
      <c r="AG249" s="68"/>
      <c r="AH249" s="68"/>
      <c r="AI249" s="27"/>
    </row>
    <row r="250" spans="1:35" s="5" customFormat="1" ht="12.75" x14ac:dyDescent="0.2">
      <c r="A250" s="66"/>
      <c r="B250" s="54"/>
      <c r="D250" s="54"/>
      <c r="E250" s="52"/>
      <c r="F250" s="73"/>
      <c r="G250" s="52"/>
      <c r="H250" s="73"/>
      <c r="I250" s="52"/>
      <c r="J250" s="52"/>
      <c r="K250" s="52"/>
      <c r="L250" s="7"/>
      <c r="M250" s="42"/>
      <c r="N250" s="42"/>
      <c r="O250" s="42"/>
      <c r="P250" s="42"/>
      <c r="Q250" s="42"/>
      <c r="R250" s="42"/>
      <c r="S250" s="42"/>
      <c r="T250" s="42"/>
      <c r="U250" s="7"/>
      <c r="V250" s="55"/>
      <c r="W250" s="55"/>
      <c r="X250" s="55">
        <v>9</v>
      </c>
      <c r="Y250" s="5">
        <f t="shared" ref="Y250:Y271" si="11">IF(X250&lt;47,3.66*X250^0.5,0.534*X250)</f>
        <v>10.98</v>
      </c>
      <c r="Z250" s="20">
        <f t="shared" ref="Z250:Z271" si="12">4.8+0.534*X250</f>
        <v>9.6059999999999999</v>
      </c>
      <c r="AA250" s="20"/>
      <c r="AB250" s="61"/>
    </row>
    <row r="251" spans="1:35" s="5" customFormat="1" ht="12.75" x14ac:dyDescent="0.2">
      <c r="A251" s="66"/>
      <c r="B251" s="52"/>
      <c r="C251" s="65"/>
      <c r="D251" s="87"/>
      <c r="E251" s="52"/>
      <c r="F251" s="73"/>
      <c r="G251" s="52"/>
      <c r="H251" s="73"/>
      <c r="I251" s="52"/>
      <c r="J251" s="52"/>
      <c r="K251" s="52"/>
      <c r="L251" s="7"/>
      <c r="M251" s="42"/>
      <c r="N251" s="42"/>
      <c r="O251" s="42"/>
      <c r="P251" s="42"/>
      <c r="Q251" s="42"/>
      <c r="R251" s="42"/>
      <c r="S251" s="42"/>
      <c r="T251" s="42"/>
      <c r="U251" s="7"/>
      <c r="V251" s="55"/>
      <c r="W251" s="55"/>
      <c r="X251" s="55">
        <v>11</v>
      </c>
      <c r="Y251" s="5">
        <f t="shared" si="11"/>
        <v>12.138846732700763</v>
      </c>
      <c r="Z251" s="20">
        <f t="shared" si="12"/>
        <v>10.673999999999999</v>
      </c>
      <c r="AA251" s="68"/>
      <c r="AB251" s="55">
        <f>AB247</f>
        <v>48.223350253807105</v>
      </c>
      <c r="AC251" s="20">
        <v>0</v>
      </c>
      <c r="AH251" s="68"/>
    </row>
    <row r="252" spans="1:35" s="5" customFormat="1" ht="12.75" x14ac:dyDescent="0.2">
      <c r="A252" s="52"/>
      <c r="B252" s="52"/>
      <c r="C252" s="87"/>
      <c r="D252" s="74"/>
      <c r="E252" s="52"/>
      <c r="F252" s="74"/>
      <c r="G252" s="52"/>
      <c r="H252" s="74"/>
      <c r="I252" s="52"/>
      <c r="J252" s="52"/>
      <c r="K252" s="52"/>
      <c r="L252" s="7"/>
      <c r="M252" s="42"/>
      <c r="N252" s="42"/>
      <c r="O252" s="42"/>
      <c r="P252" s="42"/>
      <c r="Q252" s="42"/>
      <c r="R252" s="42"/>
      <c r="S252" s="42"/>
      <c r="T252" s="42"/>
      <c r="U252" s="7"/>
      <c r="V252" s="55"/>
      <c r="W252" s="55"/>
      <c r="X252" s="55">
        <v>13</v>
      </c>
      <c r="Y252" s="5">
        <f t="shared" si="11"/>
        <v>13.196317668198201</v>
      </c>
      <c r="Z252" s="20">
        <f t="shared" si="12"/>
        <v>11.742000000000001</v>
      </c>
      <c r="AA252" s="20"/>
      <c r="AB252" s="55">
        <f>AB251</f>
        <v>48.223350253807105</v>
      </c>
      <c r="AC252" s="20">
        <f>AC247</f>
        <v>25.751269035532996</v>
      </c>
      <c r="AD252" s="20"/>
      <c r="AE252" s="20"/>
      <c r="AF252" s="20"/>
      <c r="AG252" s="20"/>
      <c r="AH252" s="68"/>
    </row>
    <row r="253" spans="1:35" s="5" customFormat="1" ht="12.75" x14ac:dyDescent="0.2">
      <c r="A253" s="66"/>
      <c r="B253" s="52"/>
      <c r="C253" s="87"/>
      <c r="D253" s="74"/>
      <c r="E253" s="52"/>
      <c r="F253" s="74"/>
      <c r="G253" s="52"/>
      <c r="H253" s="74"/>
      <c r="I253" s="52"/>
      <c r="J253" s="52"/>
      <c r="K253" s="52"/>
      <c r="L253" s="7"/>
      <c r="M253" s="42"/>
      <c r="N253" s="42"/>
      <c r="O253" s="42"/>
      <c r="P253" s="42"/>
      <c r="Q253" s="42"/>
      <c r="R253" s="42"/>
      <c r="S253" s="42"/>
      <c r="T253" s="42"/>
      <c r="U253" s="7"/>
      <c r="V253" s="55"/>
      <c r="W253" s="55"/>
      <c r="X253" s="55">
        <v>15</v>
      </c>
      <c r="Y253" s="5">
        <f t="shared" si="11"/>
        <v>14.175119047119146</v>
      </c>
      <c r="Z253" s="20">
        <f t="shared" si="12"/>
        <v>12.809999999999999</v>
      </c>
      <c r="AA253" s="70"/>
      <c r="AB253" s="20">
        <v>0</v>
      </c>
      <c r="AC253" s="20">
        <f>AC247</f>
        <v>25.751269035532996</v>
      </c>
      <c r="AD253" s="20"/>
      <c r="AE253" s="20"/>
      <c r="AF253" s="20"/>
      <c r="AG253" s="20"/>
      <c r="AH253" s="68"/>
    </row>
    <row r="254" spans="1:35" s="5" customFormat="1" ht="12.75" x14ac:dyDescent="0.2">
      <c r="A254" s="66"/>
      <c r="B254" s="66"/>
      <c r="C254" s="87"/>
      <c r="D254" s="74"/>
      <c r="E254" s="52"/>
      <c r="F254" s="74"/>
      <c r="G254" s="52"/>
      <c r="H254" s="74"/>
      <c r="I254" s="52"/>
      <c r="J254" s="52"/>
      <c r="K254" s="52"/>
      <c r="L254" s="7"/>
      <c r="M254" s="42"/>
      <c r="N254" s="42"/>
      <c r="O254" s="42"/>
      <c r="P254" s="42"/>
      <c r="Q254" s="42"/>
      <c r="R254" s="42"/>
      <c r="S254" s="42"/>
      <c r="T254" s="42"/>
      <c r="U254" s="7"/>
      <c r="V254" s="55"/>
      <c r="W254" s="55"/>
      <c r="X254" s="55">
        <v>17</v>
      </c>
      <c r="Y254" s="5">
        <f t="shared" si="11"/>
        <v>15.090566589760638</v>
      </c>
      <c r="Z254" s="20">
        <f t="shared" si="12"/>
        <v>13.878</v>
      </c>
      <c r="AA254" s="70"/>
      <c r="AB254" s="20"/>
      <c r="AC254" s="20"/>
      <c r="AD254" s="20"/>
      <c r="AE254" s="20"/>
      <c r="AF254" s="20"/>
      <c r="AG254" s="20"/>
    </row>
    <row r="255" spans="1:35" s="5" customFormat="1" ht="12.75" x14ac:dyDescent="0.2">
      <c r="A255" s="66"/>
      <c r="B255" s="66"/>
      <c r="C255" s="87"/>
      <c r="D255" s="74"/>
      <c r="E255" s="52"/>
      <c r="F255" s="74"/>
      <c r="G255" s="52"/>
      <c r="H255" s="74"/>
      <c r="I255" s="52"/>
      <c r="J255" s="52"/>
      <c r="K255" s="66"/>
      <c r="L255" s="7"/>
      <c r="M255" s="42"/>
      <c r="N255" s="42"/>
      <c r="O255" s="42"/>
      <c r="P255" s="42"/>
      <c r="Q255" s="42"/>
      <c r="R255" s="42"/>
      <c r="S255" s="42"/>
      <c r="T255" s="42"/>
      <c r="U255" s="7"/>
      <c r="V255" s="55"/>
      <c r="W255" s="55"/>
      <c r="X255" s="55">
        <v>21</v>
      </c>
      <c r="Y255" s="5">
        <f t="shared" si="11"/>
        <v>16.772227043538376</v>
      </c>
      <c r="Z255" s="20">
        <f t="shared" si="12"/>
        <v>16.013999999999999</v>
      </c>
      <c r="AA255" s="20"/>
      <c r="AB255" s="55">
        <f>AB251</f>
        <v>48.223350253807105</v>
      </c>
      <c r="AC255" s="20">
        <f>-AC251</f>
        <v>0</v>
      </c>
      <c r="AD255" s="20"/>
      <c r="AE255" s="20"/>
      <c r="AF255" s="20"/>
      <c r="AG255" s="20"/>
    </row>
    <row r="256" spans="1:35" s="5" customFormat="1" ht="12.75" x14ac:dyDescent="0.2">
      <c r="A256" s="66"/>
      <c r="B256" s="66"/>
      <c r="C256" s="87"/>
      <c r="D256" s="74"/>
      <c r="E256" s="52"/>
      <c r="F256" s="74"/>
      <c r="G256" s="52"/>
      <c r="H256" s="74"/>
      <c r="I256" s="52"/>
      <c r="J256" s="52"/>
      <c r="K256" s="66"/>
      <c r="L256" s="7"/>
      <c r="M256" s="42"/>
      <c r="N256" s="42"/>
      <c r="O256" s="42"/>
      <c r="P256" s="42"/>
      <c r="Q256" s="42"/>
      <c r="R256" s="42"/>
      <c r="S256" s="42"/>
      <c r="T256" s="42"/>
      <c r="U256" s="7"/>
      <c r="V256" s="55"/>
      <c r="W256" s="55"/>
      <c r="X256" s="55">
        <v>25</v>
      </c>
      <c r="Y256" s="5">
        <f t="shared" si="11"/>
        <v>18.3</v>
      </c>
      <c r="Z256" s="20">
        <f t="shared" si="12"/>
        <v>18.150000000000002</v>
      </c>
      <c r="AA256" s="20"/>
      <c r="AB256" s="55">
        <f>AB252</f>
        <v>48.223350253807105</v>
      </c>
      <c r="AC256" s="20">
        <f>AD247</f>
        <v>30.551269035532997</v>
      </c>
      <c r="AD256" s="20"/>
      <c r="AE256" s="20"/>
      <c r="AF256" s="20"/>
      <c r="AG256" s="20"/>
    </row>
    <row r="257" spans="1:35" s="5" customFormat="1" ht="12.75" x14ac:dyDescent="0.2">
      <c r="A257" s="52"/>
      <c r="B257" s="52"/>
      <c r="C257" s="52"/>
      <c r="D257" s="52"/>
      <c r="E257" s="52"/>
      <c r="F257" s="52"/>
      <c r="G257" s="52"/>
      <c r="H257" s="52"/>
      <c r="I257" s="52"/>
      <c r="J257" s="52"/>
      <c r="K257" s="52"/>
      <c r="L257" s="7"/>
      <c r="M257" s="42"/>
      <c r="N257" s="42"/>
      <c r="O257" s="42"/>
      <c r="P257" s="42"/>
      <c r="Q257" s="42"/>
      <c r="R257" s="42"/>
      <c r="S257" s="42"/>
      <c r="T257" s="42"/>
      <c r="U257" s="7"/>
      <c r="V257" s="55"/>
      <c r="W257" s="55"/>
      <c r="X257" s="55">
        <v>29</v>
      </c>
      <c r="Y257" s="5">
        <f t="shared" si="11"/>
        <v>19.709703194112283</v>
      </c>
      <c r="Z257" s="20">
        <f t="shared" si="12"/>
        <v>20.286000000000001</v>
      </c>
      <c r="AB257" s="20">
        <f>-AB253</f>
        <v>0</v>
      </c>
      <c r="AC257" s="70">
        <f>AD247</f>
        <v>30.551269035532997</v>
      </c>
      <c r="AD257" s="68"/>
      <c r="AE257" s="68"/>
      <c r="AF257" s="68"/>
      <c r="AG257" s="68"/>
      <c r="AH257" s="68"/>
      <c r="AI257" s="27"/>
    </row>
    <row r="258" spans="1:35" s="5" customFormat="1" ht="12.75" x14ac:dyDescent="0.2">
      <c r="A258" s="52"/>
      <c r="B258" s="52"/>
      <c r="C258" s="52"/>
      <c r="D258" s="52"/>
      <c r="E258" s="52"/>
      <c r="F258" s="52"/>
      <c r="G258" s="52"/>
      <c r="H258" s="52"/>
      <c r="I258" s="52"/>
      <c r="J258" s="52"/>
      <c r="K258" s="52"/>
      <c r="L258" s="7"/>
      <c r="M258" s="42"/>
      <c r="N258" s="42"/>
      <c r="O258" s="42"/>
      <c r="P258" s="42"/>
      <c r="Q258" s="42"/>
      <c r="R258" s="42"/>
      <c r="S258" s="42"/>
      <c r="T258" s="42"/>
      <c r="U258" s="7"/>
      <c r="V258" s="55"/>
      <c r="W258" s="55"/>
      <c r="X258" s="55">
        <v>33</v>
      </c>
      <c r="Y258" s="5">
        <f t="shared" si="11"/>
        <v>21.025099286329187</v>
      </c>
      <c r="Z258" s="20">
        <f t="shared" si="12"/>
        <v>22.422000000000001</v>
      </c>
      <c r="AA258" s="20"/>
      <c r="AB258" s="20"/>
      <c r="AC258" s="20"/>
      <c r="AE258" s="75"/>
      <c r="AF258" s="75"/>
      <c r="AG258" s="75"/>
      <c r="AH258" s="75"/>
      <c r="AI258" s="76"/>
    </row>
    <row r="259" spans="1:35" s="5" customFormat="1" ht="12.75" x14ac:dyDescent="0.2">
      <c r="A259" s="54"/>
      <c r="B259" s="52"/>
      <c r="C259" s="52"/>
      <c r="D259" s="112"/>
      <c r="E259" s="52"/>
      <c r="F259" s="52"/>
      <c r="G259" s="52"/>
      <c r="H259" s="52"/>
      <c r="I259" s="52"/>
      <c r="J259" s="52"/>
      <c r="K259" s="52"/>
      <c r="L259" s="7"/>
      <c r="M259" s="42"/>
      <c r="N259" s="42"/>
      <c r="O259" s="42"/>
      <c r="P259" s="42"/>
      <c r="Q259" s="42"/>
      <c r="R259" s="42"/>
      <c r="S259" s="42"/>
      <c r="T259" s="42"/>
      <c r="U259" s="7"/>
      <c r="V259" s="55"/>
      <c r="W259" s="55"/>
      <c r="X259" s="55">
        <v>37</v>
      </c>
      <c r="Y259" s="5">
        <f t="shared" si="11"/>
        <v>22.262910860891484</v>
      </c>
      <c r="Z259" s="20">
        <f t="shared" si="12"/>
        <v>24.558000000000003</v>
      </c>
      <c r="AA259" s="20"/>
      <c r="AB259" s="20"/>
      <c r="AC259" s="20"/>
      <c r="AD259" s="20"/>
      <c r="AE259" s="75"/>
      <c r="AF259" s="75"/>
      <c r="AG259" s="75"/>
      <c r="AH259" s="75"/>
      <c r="AI259" s="76"/>
    </row>
    <row r="260" spans="1:35" s="5" customFormat="1" ht="12.75" x14ac:dyDescent="0.2">
      <c r="A260" s="54"/>
      <c r="B260" s="113"/>
      <c r="C260" s="71"/>
      <c r="D260" s="82"/>
      <c r="E260" s="52"/>
      <c r="F260" s="54"/>
      <c r="G260" s="72"/>
      <c r="H260" s="52"/>
      <c r="I260" s="52"/>
      <c r="J260" s="52"/>
      <c r="K260" s="52"/>
      <c r="L260" s="7"/>
      <c r="M260" s="42"/>
      <c r="N260" s="42"/>
      <c r="O260" s="42"/>
      <c r="P260" s="42"/>
      <c r="Q260" s="42"/>
      <c r="R260" s="42"/>
      <c r="S260" s="42"/>
      <c r="T260" s="42"/>
      <c r="U260" s="7"/>
      <c r="V260" s="55"/>
      <c r="W260" s="55"/>
      <c r="X260" s="55">
        <v>41</v>
      </c>
      <c r="Y260" s="5">
        <f t="shared" si="11"/>
        <v>23.435434709004227</v>
      </c>
      <c r="Z260" s="20">
        <f t="shared" si="12"/>
        <v>26.694000000000003</v>
      </c>
      <c r="AA260" s="20"/>
      <c r="AB260" s="20"/>
      <c r="AC260" s="20"/>
      <c r="AD260" s="20"/>
      <c r="AE260" s="75"/>
      <c r="AF260" s="75"/>
      <c r="AG260" s="75"/>
      <c r="AH260" s="75"/>
      <c r="AI260" s="76"/>
    </row>
    <row r="261" spans="1:35" s="5" customFormat="1" ht="12.75" x14ac:dyDescent="0.2">
      <c r="A261" s="54"/>
      <c r="B261" s="52"/>
      <c r="C261" s="52"/>
      <c r="D261" s="82"/>
      <c r="E261" s="52"/>
      <c r="F261" s="54"/>
      <c r="G261" s="52"/>
      <c r="H261" s="52"/>
      <c r="I261" s="52"/>
      <c r="J261" s="71"/>
      <c r="K261" s="71"/>
      <c r="L261" s="7"/>
      <c r="M261" s="42"/>
      <c r="N261" s="42"/>
      <c r="O261" s="42"/>
      <c r="P261" s="42"/>
      <c r="Q261" s="42"/>
      <c r="R261" s="42"/>
      <c r="S261" s="42"/>
      <c r="T261" s="42"/>
      <c r="U261" s="7"/>
      <c r="V261" s="55"/>
      <c r="W261" s="55"/>
      <c r="X261" s="55">
        <f>X260+2</f>
        <v>43</v>
      </c>
      <c r="Y261" s="5">
        <f t="shared" si="11"/>
        <v>24.000224998945324</v>
      </c>
      <c r="Z261" s="20">
        <f t="shared" si="12"/>
        <v>27.762</v>
      </c>
      <c r="AA261" s="20"/>
      <c r="AB261" s="20"/>
      <c r="AC261" s="20"/>
      <c r="AE261" s="75"/>
      <c r="AF261" s="75"/>
      <c r="AG261" s="75"/>
      <c r="AH261" s="75"/>
      <c r="AI261" s="76"/>
    </row>
    <row r="262" spans="1:35" s="5" customFormat="1" ht="12.75" x14ac:dyDescent="0.2">
      <c r="A262" s="54"/>
      <c r="B262" s="81"/>
      <c r="C262" s="52"/>
      <c r="D262" s="52"/>
      <c r="E262" s="52"/>
      <c r="F262" s="54"/>
      <c r="G262" s="71"/>
      <c r="H262" s="52"/>
      <c r="I262" s="52"/>
      <c r="J262" s="71"/>
      <c r="K262" s="71"/>
      <c r="L262" s="7"/>
      <c r="M262" s="42"/>
      <c r="N262" s="42"/>
      <c r="O262" s="42"/>
      <c r="P262" s="42"/>
      <c r="Q262" s="42"/>
      <c r="R262" s="42"/>
      <c r="S262" s="42"/>
      <c r="T262" s="42"/>
      <c r="U262" s="7"/>
      <c r="V262" s="55"/>
      <c r="W262" s="55"/>
      <c r="X262" s="55">
        <f t="shared" ref="X262:X264" si="13">X261+2</f>
        <v>45</v>
      </c>
      <c r="Y262" s="5">
        <f t="shared" si="11"/>
        <v>24.552026392947692</v>
      </c>
      <c r="Z262" s="20">
        <f t="shared" si="12"/>
        <v>28.830000000000002</v>
      </c>
      <c r="AA262" s="20"/>
      <c r="AB262" s="20"/>
      <c r="AC262" s="20"/>
      <c r="AE262" s="75"/>
      <c r="AF262" s="75"/>
      <c r="AG262" s="75"/>
      <c r="AH262" s="75"/>
      <c r="AI262" s="76"/>
    </row>
    <row r="263" spans="1:35" s="5" customFormat="1" ht="12.75" x14ac:dyDescent="0.2">
      <c r="A263" s="52"/>
      <c r="B263" s="52"/>
      <c r="C263" s="52"/>
      <c r="D263" s="114"/>
      <c r="E263" s="52"/>
      <c r="F263" s="54"/>
      <c r="G263" s="52"/>
      <c r="H263" s="52"/>
      <c r="I263" s="52"/>
      <c r="J263" s="52"/>
      <c r="K263" s="52"/>
      <c r="L263" s="7"/>
      <c r="M263" s="42"/>
      <c r="N263" s="42"/>
      <c r="O263" s="42"/>
      <c r="P263" s="42"/>
      <c r="Q263" s="42"/>
      <c r="R263" s="42"/>
      <c r="S263" s="42"/>
      <c r="T263" s="42"/>
      <c r="U263" s="7"/>
      <c r="V263" s="55"/>
      <c r="W263" s="55"/>
      <c r="X263" s="55">
        <f t="shared" si="13"/>
        <v>47</v>
      </c>
      <c r="Y263" s="5">
        <f t="shared" si="11"/>
        <v>25.098000000000003</v>
      </c>
      <c r="Z263" s="20">
        <f t="shared" si="12"/>
        <v>29.898000000000003</v>
      </c>
      <c r="AD263" s="55"/>
      <c r="AE263" s="61"/>
      <c r="AF263" s="77"/>
      <c r="AG263" s="78"/>
    </row>
    <row r="264" spans="1:35" s="5" customFormat="1" ht="12.75" x14ac:dyDescent="0.2">
      <c r="A264" s="52"/>
      <c r="B264" s="52"/>
      <c r="C264" s="52"/>
      <c r="D264" s="52"/>
      <c r="E264" s="52"/>
      <c r="F264" s="54"/>
      <c r="G264" s="52"/>
      <c r="H264" s="52"/>
      <c r="I264" s="52"/>
      <c r="J264" s="52"/>
      <c r="K264" s="52"/>
      <c r="L264" s="7"/>
      <c r="M264" s="42"/>
      <c r="N264" s="42"/>
      <c r="O264" s="42"/>
      <c r="P264" s="42"/>
      <c r="Q264" s="42"/>
      <c r="R264" s="42"/>
      <c r="S264" s="42"/>
      <c r="T264" s="42"/>
      <c r="U264" s="7"/>
      <c r="V264" s="55"/>
      <c r="W264" s="55"/>
      <c r="X264" s="55">
        <f t="shared" si="13"/>
        <v>49</v>
      </c>
      <c r="Y264" s="5">
        <f t="shared" si="11"/>
        <v>26.166</v>
      </c>
      <c r="Z264" s="20">
        <f t="shared" si="12"/>
        <v>30.966000000000001</v>
      </c>
      <c r="AA264" s="20"/>
      <c r="AB264" s="20"/>
      <c r="AC264" s="20"/>
      <c r="AE264" s="80"/>
      <c r="AF264" s="80"/>
      <c r="AG264" s="80"/>
      <c r="AH264" s="80"/>
      <c r="AI264" s="80"/>
    </row>
    <row r="265" spans="1:35" s="5" customFormat="1" ht="12.75" x14ac:dyDescent="0.2">
      <c r="A265" s="52"/>
      <c r="B265" s="92"/>
      <c r="C265" s="52"/>
      <c r="D265" s="114"/>
      <c r="E265" s="52"/>
      <c r="F265" s="52"/>
      <c r="G265" s="52"/>
      <c r="H265" s="52"/>
      <c r="I265" s="52"/>
      <c r="J265" s="52"/>
      <c r="K265" s="52"/>
      <c r="L265" s="7"/>
      <c r="M265" s="42"/>
      <c r="N265" s="42"/>
      <c r="O265" s="42"/>
      <c r="P265" s="42"/>
      <c r="Q265" s="42"/>
      <c r="R265" s="42"/>
      <c r="S265" s="42"/>
      <c r="T265" s="42"/>
      <c r="U265" s="7"/>
      <c r="V265" s="55"/>
      <c r="W265" s="55"/>
      <c r="X265" s="55">
        <f>X264+10</f>
        <v>59</v>
      </c>
      <c r="Y265" s="5">
        <f t="shared" si="11"/>
        <v>31.506</v>
      </c>
      <c r="Z265" s="20">
        <f t="shared" si="12"/>
        <v>36.305999999999997</v>
      </c>
      <c r="AA265" s="20"/>
      <c r="AB265" s="20"/>
      <c r="AC265" s="20"/>
      <c r="AD265" s="20"/>
      <c r="AE265" s="80"/>
      <c r="AF265" s="80"/>
      <c r="AG265" s="80"/>
      <c r="AH265" s="80"/>
      <c r="AI265" s="80"/>
    </row>
    <row r="266" spans="1:35" s="5" customFormat="1" ht="12.75" x14ac:dyDescent="0.2">
      <c r="A266" s="52"/>
      <c r="B266" s="52"/>
      <c r="C266" s="52"/>
      <c r="D266" s="52"/>
      <c r="E266" s="52"/>
      <c r="F266" s="52"/>
      <c r="G266" s="52"/>
      <c r="H266" s="52"/>
      <c r="I266" s="52"/>
      <c r="J266" s="52"/>
      <c r="K266" s="52"/>
      <c r="L266" s="7"/>
      <c r="M266" s="42"/>
      <c r="N266" s="42"/>
      <c r="O266" s="42"/>
      <c r="P266" s="42"/>
      <c r="Q266" s="42"/>
      <c r="R266" s="42"/>
      <c r="S266" s="42"/>
      <c r="T266" s="42"/>
      <c r="U266" s="7"/>
      <c r="V266" s="55"/>
      <c r="W266" s="55"/>
      <c r="X266" s="55">
        <f t="shared" ref="X266:X269" si="14">X265+10</f>
        <v>69</v>
      </c>
      <c r="Y266" s="5">
        <f t="shared" si="11"/>
        <v>36.846000000000004</v>
      </c>
      <c r="Z266" s="20">
        <f t="shared" si="12"/>
        <v>41.646000000000001</v>
      </c>
      <c r="AA266" s="20"/>
      <c r="AB266" s="20"/>
      <c r="AC266" s="20"/>
      <c r="AE266" s="80"/>
      <c r="AF266" s="80"/>
      <c r="AG266" s="80"/>
      <c r="AH266" s="80"/>
      <c r="AI266" s="80"/>
    </row>
    <row r="267" spans="1:35" s="5" customFormat="1" ht="12.75" x14ac:dyDescent="0.2">
      <c r="A267" s="54"/>
      <c r="B267" s="54"/>
      <c r="C267" s="52"/>
      <c r="D267" s="52"/>
      <c r="E267" s="52"/>
      <c r="F267" s="52"/>
      <c r="G267" s="52"/>
      <c r="H267" s="52"/>
      <c r="I267" s="52"/>
      <c r="J267" s="71"/>
      <c r="K267" s="52"/>
      <c r="L267" s="7"/>
      <c r="M267" s="42"/>
      <c r="N267" s="42"/>
      <c r="O267" s="42"/>
      <c r="P267" s="42"/>
      <c r="Q267" s="42"/>
      <c r="R267" s="42"/>
      <c r="S267" s="42"/>
      <c r="T267" s="42"/>
      <c r="U267" s="7"/>
      <c r="V267" s="55"/>
      <c r="W267" s="55"/>
      <c r="X267" s="55">
        <f t="shared" si="14"/>
        <v>79</v>
      </c>
      <c r="Y267" s="5">
        <f t="shared" si="11"/>
        <v>42.186</v>
      </c>
      <c r="Z267" s="20">
        <f t="shared" si="12"/>
        <v>46.985999999999997</v>
      </c>
      <c r="AA267" s="20"/>
      <c r="AB267" s="20"/>
      <c r="AC267" s="20"/>
      <c r="AE267" s="80"/>
      <c r="AF267" s="80"/>
      <c r="AG267" s="80"/>
      <c r="AH267" s="80"/>
      <c r="AI267" s="80"/>
    </row>
    <row r="268" spans="1:35" s="5" customFormat="1" ht="12.75" x14ac:dyDescent="0.2">
      <c r="A268" s="52"/>
      <c r="B268" s="90"/>
      <c r="C268" s="115"/>
      <c r="D268" s="82"/>
      <c r="E268" s="52"/>
      <c r="F268" s="52"/>
      <c r="G268" s="52"/>
      <c r="H268" s="52"/>
      <c r="I268" s="52"/>
      <c r="J268" s="52"/>
      <c r="K268" s="52"/>
      <c r="L268" s="7"/>
      <c r="M268" s="42"/>
      <c r="N268" s="42"/>
      <c r="O268" s="42"/>
      <c r="P268" s="42"/>
      <c r="Q268" s="42"/>
      <c r="R268" s="42"/>
      <c r="S268" s="42"/>
      <c r="T268" s="42"/>
      <c r="U268" s="7"/>
      <c r="V268" s="55"/>
      <c r="W268" s="55"/>
      <c r="X268" s="55">
        <f t="shared" si="14"/>
        <v>89</v>
      </c>
      <c r="Y268" s="5">
        <f t="shared" si="11"/>
        <v>47.526000000000003</v>
      </c>
      <c r="Z268" s="20">
        <f t="shared" si="12"/>
        <v>52.326000000000001</v>
      </c>
      <c r="AA268" s="20"/>
      <c r="AB268" s="20"/>
      <c r="AC268" s="20"/>
      <c r="AE268" s="80"/>
      <c r="AF268" s="80"/>
      <c r="AG268" s="80"/>
      <c r="AH268" s="80"/>
      <c r="AI268" s="80"/>
    </row>
    <row r="269" spans="1:35" s="5" customFormat="1" ht="12.75" x14ac:dyDescent="0.2">
      <c r="A269" s="52"/>
      <c r="B269" s="54"/>
      <c r="C269" s="72"/>
      <c r="D269" s="52"/>
      <c r="E269" s="52"/>
      <c r="F269" s="52"/>
      <c r="G269" s="52"/>
      <c r="H269" s="52"/>
      <c r="I269" s="52"/>
      <c r="J269" s="87"/>
      <c r="K269" s="52"/>
      <c r="L269" s="7"/>
      <c r="M269" s="42"/>
      <c r="N269" s="42"/>
      <c r="O269" s="42"/>
      <c r="P269" s="42"/>
      <c r="Q269" s="42"/>
      <c r="R269" s="42"/>
      <c r="S269" s="42"/>
      <c r="T269" s="42"/>
      <c r="U269" s="7"/>
      <c r="V269" s="55"/>
      <c r="W269" s="55"/>
      <c r="X269" s="55">
        <f t="shared" si="14"/>
        <v>99</v>
      </c>
      <c r="Y269" s="5">
        <f t="shared" si="11"/>
        <v>52.866</v>
      </c>
      <c r="Z269" s="20">
        <f t="shared" si="12"/>
        <v>57.665999999999997</v>
      </c>
    </row>
    <row r="270" spans="1:35" s="5" customFormat="1" ht="12.75" x14ac:dyDescent="0.2">
      <c r="A270" s="54"/>
      <c r="F270" s="54"/>
      <c r="G270" s="81"/>
      <c r="H270" s="52"/>
      <c r="I270" s="52"/>
      <c r="J270" s="52"/>
      <c r="K270" s="52"/>
      <c r="L270" s="7"/>
      <c r="M270" s="42"/>
      <c r="N270" s="42"/>
      <c r="O270" s="42"/>
      <c r="P270" s="42"/>
      <c r="Q270" s="42"/>
      <c r="R270" s="42"/>
      <c r="S270" s="42"/>
      <c r="T270" s="42"/>
      <c r="U270" s="7"/>
      <c r="V270" s="55"/>
      <c r="W270" s="55"/>
      <c r="X270" s="55">
        <f>X269+10</f>
        <v>109</v>
      </c>
      <c r="Y270" s="5">
        <f t="shared" si="11"/>
        <v>58.206000000000003</v>
      </c>
      <c r="Z270" s="20">
        <f t="shared" si="12"/>
        <v>63.006</v>
      </c>
      <c r="AA270" s="55"/>
      <c r="AI270" s="68"/>
    </row>
    <row r="271" spans="1:35" s="5" customFormat="1" ht="12.75" x14ac:dyDescent="0.2">
      <c r="A271" s="128" t="s">
        <v>111</v>
      </c>
      <c r="C271" s="52"/>
      <c r="D271" s="52"/>
      <c r="E271" s="54" t="s">
        <v>112</v>
      </c>
      <c r="F271" s="72">
        <f>AC252</f>
        <v>25.751269035532996</v>
      </c>
      <c r="G271" s="92" t="s">
        <v>93</v>
      </c>
      <c r="H271" s="52"/>
      <c r="I271" s="52"/>
      <c r="J271" s="52"/>
      <c r="K271" s="52"/>
      <c r="L271" s="7"/>
      <c r="M271" s="42"/>
      <c r="N271" s="42"/>
      <c r="O271" s="42"/>
      <c r="P271" s="42"/>
      <c r="Q271" s="42"/>
      <c r="R271" s="42"/>
      <c r="S271" s="42"/>
      <c r="T271" s="42"/>
      <c r="U271" s="7"/>
      <c r="V271" s="55"/>
      <c r="W271" s="55"/>
      <c r="X271" s="55">
        <v>120</v>
      </c>
      <c r="Y271" s="5">
        <f t="shared" si="11"/>
        <v>64.08</v>
      </c>
      <c r="Z271" s="20">
        <f t="shared" si="12"/>
        <v>68.88</v>
      </c>
      <c r="AA271" s="55"/>
      <c r="AI271" s="68"/>
    </row>
    <row r="272" spans="1:35" s="5" customFormat="1" ht="12.75" x14ac:dyDescent="0.2">
      <c r="A272" s="52"/>
      <c r="E272" s="15"/>
      <c r="F272" s="72"/>
      <c r="G272" s="52"/>
      <c r="H272" s="52"/>
      <c r="I272" s="52"/>
      <c r="J272" s="52"/>
      <c r="K272" s="52"/>
      <c r="L272" s="7"/>
      <c r="M272" s="42"/>
      <c r="N272" s="42"/>
      <c r="O272" s="42"/>
      <c r="P272" s="42"/>
      <c r="Q272" s="42"/>
      <c r="R272" s="42"/>
      <c r="S272" s="42"/>
      <c r="T272" s="42"/>
      <c r="U272" s="7"/>
      <c r="V272" s="55"/>
      <c r="W272" s="55"/>
      <c r="X272" s="7"/>
      <c r="Y272" s="20"/>
      <c r="Z272" s="20"/>
      <c r="AA272" s="55"/>
      <c r="AI272" s="68"/>
    </row>
    <row r="273" spans="1:35" s="5" customFormat="1" ht="12.75" x14ac:dyDescent="0.2">
      <c r="A273" s="128" t="s">
        <v>113</v>
      </c>
      <c r="C273" s="115"/>
      <c r="D273" s="82"/>
      <c r="E273" s="54" t="s">
        <v>114</v>
      </c>
      <c r="F273" s="129">
        <f>AC256</f>
        <v>30.551269035532997</v>
      </c>
      <c r="G273" s="92" t="s">
        <v>93</v>
      </c>
      <c r="H273" s="52"/>
      <c r="I273" s="52"/>
      <c r="J273" s="52"/>
      <c r="K273" s="52"/>
      <c r="L273" s="7"/>
      <c r="M273" s="42"/>
      <c r="N273" s="42"/>
      <c r="O273" s="42"/>
      <c r="P273" s="42"/>
      <c r="Q273" s="42"/>
      <c r="R273" s="42"/>
      <c r="S273" s="42"/>
      <c r="T273" s="42"/>
      <c r="U273" s="7"/>
      <c r="V273" s="55"/>
      <c r="W273" s="55"/>
      <c r="X273" s="7"/>
      <c r="Y273" s="20"/>
      <c r="AA273" s="55"/>
      <c r="AI273" s="68"/>
    </row>
    <row r="274" spans="1:35" s="5" customFormat="1" ht="12.75" x14ac:dyDescent="0.2">
      <c r="A274" s="52"/>
      <c r="B274" s="52"/>
      <c r="C274" s="85"/>
      <c r="D274" s="82"/>
      <c r="E274" s="87"/>
      <c r="F274" s="52"/>
      <c r="G274" s="85"/>
      <c r="H274" s="52"/>
      <c r="I274" s="91"/>
      <c r="J274" s="52"/>
      <c r="K274" s="52"/>
      <c r="L274" s="7"/>
      <c r="M274" s="42"/>
      <c r="N274" s="42"/>
      <c r="O274" s="42"/>
      <c r="P274" s="42"/>
      <c r="Q274" s="42"/>
      <c r="R274" s="42"/>
      <c r="S274" s="42"/>
      <c r="T274" s="42"/>
      <c r="U274" s="7"/>
      <c r="V274" s="55"/>
      <c r="W274" s="55"/>
      <c r="X274" s="7"/>
      <c r="Y274" s="20"/>
      <c r="AA274" s="55"/>
    </row>
    <row r="275" spans="1:35" s="5" customFormat="1" ht="12.75" x14ac:dyDescent="0.2">
      <c r="A275" s="52"/>
      <c r="B275" s="92"/>
      <c r="C275" s="85"/>
      <c r="D275" s="52"/>
      <c r="E275" s="52"/>
      <c r="F275" s="52"/>
      <c r="G275" s="52"/>
      <c r="H275" s="52"/>
      <c r="I275" s="52"/>
      <c r="J275" s="52"/>
      <c r="K275" s="52"/>
      <c r="L275" s="7"/>
      <c r="M275" s="42"/>
      <c r="N275" s="42"/>
      <c r="O275" s="42"/>
      <c r="P275" s="42"/>
      <c r="Q275" s="42"/>
      <c r="R275" s="42"/>
      <c r="S275" s="42"/>
      <c r="T275" s="42"/>
      <c r="U275" s="7"/>
      <c r="V275" s="55"/>
      <c r="W275" s="55"/>
      <c r="X275" s="7"/>
      <c r="AH275" s="68"/>
    </row>
    <row r="276" spans="1:35" s="5" customFormat="1" ht="12.75" x14ac:dyDescent="0.2">
      <c r="A276" s="52"/>
      <c r="B276" s="54"/>
      <c r="C276" s="130"/>
      <c r="D276" s="52"/>
      <c r="E276" s="52"/>
      <c r="F276" s="73"/>
      <c r="G276" s="52"/>
      <c r="H276" s="52"/>
      <c r="I276" s="73"/>
      <c r="J276" s="52"/>
      <c r="K276" s="52"/>
      <c r="L276" s="7"/>
      <c r="M276" s="42"/>
      <c r="N276" s="42"/>
      <c r="O276" s="42"/>
      <c r="P276" s="42"/>
      <c r="Q276" s="42"/>
      <c r="R276" s="42"/>
      <c r="S276" s="42"/>
      <c r="T276" s="42"/>
      <c r="U276" s="7"/>
      <c r="V276" s="55"/>
      <c r="W276" s="55"/>
      <c r="X276" s="7"/>
      <c r="Y276" s="20"/>
      <c r="AA276" s="89"/>
    </row>
    <row r="277" spans="1:35" s="5" customFormat="1" ht="12.75" x14ac:dyDescent="0.2">
      <c r="A277" s="52"/>
      <c r="B277" s="54"/>
      <c r="C277" s="131"/>
      <c r="D277" s="52"/>
      <c r="E277" s="53"/>
      <c r="F277" s="73"/>
      <c r="G277" s="52"/>
      <c r="H277" s="52"/>
      <c r="I277" s="73"/>
      <c r="J277" s="52"/>
      <c r="K277" s="52"/>
      <c r="L277" s="7"/>
      <c r="M277" s="42"/>
      <c r="N277" s="42"/>
      <c r="O277" s="42"/>
      <c r="P277" s="42"/>
      <c r="Q277" s="42"/>
      <c r="R277" s="42"/>
      <c r="S277" s="42"/>
      <c r="T277" s="42"/>
      <c r="U277" s="7"/>
      <c r="V277" s="55"/>
      <c r="W277" s="55"/>
      <c r="X277" s="7"/>
      <c r="Y277" s="70"/>
      <c r="AA277" s="80"/>
    </row>
    <row r="278" spans="1:35" s="5" customFormat="1" ht="12.75" x14ac:dyDescent="0.2">
      <c r="A278" s="52"/>
      <c r="B278" s="53"/>
      <c r="C278" s="53"/>
      <c r="D278" s="73"/>
      <c r="E278" s="53"/>
      <c r="F278" s="73"/>
      <c r="G278" s="52"/>
      <c r="H278" s="52"/>
      <c r="I278" s="73"/>
      <c r="J278" s="52"/>
      <c r="K278" s="52"/>
      <c r="L278" s="7"/>
      <c r="M278" s="42"/>
      <c r="N278" s="42"/>
      <c r="O278" s="42"/>
      <c r="P278" s="42"/>
      <c r="Q278" s="42"/>
      <c r="R278" s="42"/>
      <c r="S278" s="42"/>
      <c r="T278" s="42"/>
      <c r="U278" s="7"/>
      <c r="V278" s="55"/>
      <c r="W278" s="55"/>
      <c r="X278" s="7"/>
      <c r="Y278" s="70"/>
      <c r="Z278" s="20"/>
      <c r="AA278" s="80"/>
    </row>
    <row r="279" spans="1:35" s="5" customFormat="1" ht="12.75" x14ac:dyDescent="0.2">
      <c r="A279" s="52"/>
      <c r="B279" s="119"/>
      <c r="C279" s="73"/>
      <c r="D279" s="73"/>
      <c r="E279" s="53"/>
      <c r="F279" s="73"/>
      <c r="G279" s="52"/>
      <c r="H279" s="52"/>
      <c r="I279" s="73"/>
      <c r="J279" s="52"/>
      <c r="K279" s="52"/>
      <c r="L279" s="7"/>
      <c r="M279" s="42"/>
      <c r="N279" s="42"/>
      <c r="O279" s="42"/>
      <c r="P279" s="42"/>
      <c r="Q279" s="42"/>
      <c r="R279" s="42"/>
      <c r="S279" s="42"/>
      <c r="T279" s="42"/>
      <c r="U279" s="7"/>
      <c r="V279" s="55"/>
      <c r="W279" s="55"/>
      <c r="X279" s="7"/>
      <c r="Y279" s="20"/>
      <c r="Z279" s="68"/>
      <c r="AA279" s="89"/>
      <c r="AB279" s="68"/>
    </row>
    <row r="280" spans="1:35" s="5" customFormat="1" ht="12.75" x14ac:dyDescent="0.2">
      <c r="A280" s="52"/>
      <c r="B280" s="73"/>
      <c r="C280" s="73"/>
      <c r="D280" s="53"/>
      <c r="E280" s="73"/>
      <c r="F280" s="52"/>
      <c r="G280" s="52"/>
      <c r="H280" s="73"/>
      <c r="I280" s="52"/>
      <c r="J280" s="52"/>
      <c r="K280" s="52"/>
      <c r="L280" s="7"/>
      <c r="M280" s="42"/>
      <c r="N280" s="42"/>
      <c r="O280" s="42"/>
      <c r="P280" s="42"/>
      <c r="Q280" s="42"/>
      <c r="R280" s="42"/>
      <c r="S280" s="42"/>
      <c r="T280" s="42"/>
      <c r="U280" s="7"/>
      <c r="V280" s="55"/>
      <c r="W280" s="55"/>
      <c r="X280" s="7"/>
      <c r="Y280" s="20"/>
      <c r="AA280" s="80"/>
    </row>
    <row r="281" spans="1:35" s="5" customFormat="1" ht="12.75" x14ac:dyDescent="0.2">
      <c r="C281" s="56"/>
      <c r="D281" s="56"/>
      <c r="E281" s="56"/>
      <c r="F281" s="56"/>
      <c r="H281" s="56"/>
      <c r="I281" s="56"/>
      <c r="L281" s="7"/>
      <c r="M281" s="42"/>
      <c r="N281" s="42"/>
      <c r="O281" s="42"/>
      <c r="P281" s="42"/>
      <c r="Q281" s="42"/>
      <c r="R281" s="42"/>
      <c r="S281" s="42"/>
      <c r="T281" s="42"/>
      <c r="U281" s="7"/>
      <c r="V281" s="55"/>
      <c r="W281" s="55"/>
      <c r="X281" s="7"/>
    </row>
    <row r="282" spans="1:35" s="5" customFormat="1" ht="12.75" x14ac:dyDescent="0.2">
      <c r="B282" s="56"/>
      <c r="C282" s="93"/>
      <c r="D282" s="61"/>
      <c r="E282" s="94"/>
      <c r="F282" s="55"/>
      <c r="H282" s="94"/>
      <c r="I282" s="55"/>
      <c r="J282" s="62"/>
      <c r="K282" s="62"/>
      <c r="L282" s="7"/>
      <c r="M282" s="42"/>
      <c r="N282" s="42"/>
      <c r="O282" s="42"/>
      <c r="P282" s="42"/>
      <c r="Q282" s="42"/>
      <c r="R282" s="42"/>
      <c r="S282" s="42"/>
      <c r="T282" s="42"/>
      <c r="U282" s="7"/>
      <c r="V282" s="55"/>
      <c r="W282" s="55"/>
      <c r="X282" s="7"/>
    </row>
    <row r="283" spans="1:35" s="5" customFormat="1" ht="12.75" x14ac:dyDescent="0.2">
      <c r="B283" s="56"/>
      <c r="C283" s="93"/>
      <c r="D283" s="61"/>
      <c r="E283" s="94"/>
      <c r="F283" s="55"/>
      <c r="H283" s="94"/>
      <c r="I283" s="55"/>
      <c r="J283" s="62"/>
      <c r="K283" s="62"/>
      <c r="L283" s="7"/>
      <c r="M283" s="42"/>
      <c r="N283" s="42"/>
      <c r="O283" s="42"/>
      <c r="P283" s="42"/>
      <c r="Q283" s="42"/>
      <c r="R283" s="42"/>
      <c r="S283" s="42"/>
      <c r="T283" s="42"/>
      <c r="U283" s="7"/>
      <c r="V283" s="55"/>
      <c r="W283" s="55"/>
      <c r="X283" s="7"/>
    </row>
    <row r="284" spans="1:35" s="5" customFormat="1" ht="12.75" x14ac:dyDescent="0.2">
      <c r="B284" s="56"/>
      <c r="C284" s="93"/>
      <c r="D284" s="61"/>
      <c r="E284" s="94"/>
      <c r="F284" s="55"/>
      <c r="H284" s="94"/>
      <c r="I284" s="55"/>
      <c r="J284" s="62"/>
      <c r="K284" s="62"/>
      <c r="L284" s="7"/>
      <c r="M284" s="42"/>
      <c r="N284" s="42"/>
      <c r="O284" s="42"/>
      <c r="P284" s="42"/>
      <c r="Q284" s="42"/>
      <c r="R284" s="42"/>
      <c r="S284" s="42"/>
      <c r="T284" s="42"/>
      <c r="U284" s="7"/>
      <c r="V284" s="95"/>
      <c r="W284" s="55"/>
      <c r="X284" s="7"/>
    </row>
    <row r="285" spans="1:35" s="5" customFormat="1" ht="12.75" x14ac:dyDescent="0.2">
      <c r="B285" s="56"/>
      <c r="C285" s="93"/>
      <c r="D285" s="61"/>
      <c r="E285" s="94"/>
      <c r="F285" s="55"/>
      <c r="H285" s="94"/>
      <c r="I285" s="55"/>
      <c r="J285" s="62"/>
      <c r="K285" s="62"/>
      <c r="L285" s="7"/>
      <c r="M285" s="42"/>
      <c r="N285" s="42"/>
      <c r="O285" s="42"/>
      <c r="P285" s="42"/>
      <c r="Q285" s="42"/>
      <c r="R285" s="42"/>
      <c r="S285" s="42"/>
      <c r="T285" s="42"/>
      <c r="U285" s="7"/>
      <c r="X285" s="7"/>
    </row>
    <row r="286" spans="1:35" s="5" customFormat="1" ht="12.75" x14ac:dyDescent="0.2">
      <c r="A286" s="96"/>
      <c r="B286" s="20"/>
      <c r="C286" s="97"/>
      <c r="D286" s="96"/>
      <c r="E286" s="96"/>
      <c r="F286" s="96"/>
      <c r="G286" s="97"/>
      <c r="H286" s="96"/>
      <c r="I286" s="96"/>
      <c r="J286" s="96"/>
      <c r="K286" s="96"/>
      <c r="L286" s="7"/>
      <c r="M286" s="42"/>
      <c r="N286" s="42"/>
      <c r="O286" s="42"/>
      <c r="P286" s="42"/>
      <c r="Q286" s="42"/>
      <c r="R286" s="42"/>
      <c r="S286" s="42"/>
      <c r="T286" s="42"/>
      <c r="U286" s="7"/>
      <c r="V286" s="7"/>
      <c r="W286" s="7"/>
      <c r="X286" s="7"/>
    </row>
    <row r="287" spans="1:35" s="5" customFormat="1" ht="12.75" x14ac:dyDescent="0.2">
      <c r="A287" s="96"/>
      <c r="B287" s="20"/>
      <c r="C287" s="97"/>
      <c r="D287" s="96"/>
      <c r="E287" s="96"/>
      <c r="F287" s="96"/>
      <c r="G287" s="97"/>
      <c r="H287" s="96"/>
      <c r="I287" s="96"/>
      <c r="J287" s="96"/>
      <c r="K287" s="96"/>
      <c r="L287" s="7"/>
      <c r="M287" s="42"/>
      <c r="N287" s="42"/>
      <c r="O287" s="42"/>
      <c r="P287" s="42"/>
      <c r="Q287" s="42"/>
      <c r="R287" s="42"/>
      <c r="S287" s="42"/>
      <c r="T287" s="42"/>
      <c r="U287" s="7"/>
      <c r="V287" s="7"/>
      <c r="W287" s="7"/>
      <c r="X287" s="7"/>
    </row>
    <row r="288" spans="1:35" s="5" customFormat="1" ht="12.75" x14ac:dyDescent="0.2">
      <c r="A288" s="96"/>
      <c r="B288" s="20"/>
      <c r="C288" s="97"/>
      <c r="D288" s="96"/>
      <c r="E288" s="96"/>
      <c r="F288" s="96"/>
      <c r="G288" s="97"/>
      <c r="H288" s="96"/>
      <c r="I288" s="96"/>
      <c r="J288" s="96"/>
      <c r="K288" s="96"/>
      <c r="L288" s="7"/>
      <c r="M288" s="42"/>
      <c r="N288" s="42"/>
      <c r="O288" s="42"/>
      <c r="P288" s="42"/>
      <c r="Q288" s="42"/>
      <c r="R288" s="42"/>
      <c r="S288" s="42"/>
      <c r="T288" s="42"/>
      <c r="U288" s="7"/>
      <c r="V288" s="7"/>
      <c r="W288" s="7"/>
      <c r="X288" s="7"/>
    </row>
    <row r="289" spans="1:24" s="5" customFormat="1" ht="12.75" x14ac:dyDescent="0.2">
      <c r="A289" s="96"/>
      <c r="B289" s="20"/>
      <c r="C289" s="97"/>
      <c r="D289" s="96"/>
      <c r="E289" s="96"/>
      <c r="F289" s="96"/>
      <c r="G289" s="97"/>
      <c r="H289" s="96"/>
      <c r="I289" s="96"/>
      <c r="J289" s="96"/>
      <c r="K289" s="96"/>
      <c r="L289" s="7"/>
      <c r="M289" s="42"/>
      <c r="N289" s="42"/>
      <c r="O289" s="42"/>
      <c r="P289" s="42"/>
      <c r="Q289" s="42"/>
      <c r="R289" s="42"/>
      <c r="S289" s="42"/>
      <c r="T289" s="42"/>
      <c r="U289" s="7"/>
      <c r="V289" s="7"/>
      <c r="W289" s="7"/>
      <c r="X289" s="7"/>
    </row>
    <row r="290" spans="1:24" s="5" customFormat="1" ht="12.75" x14ac:dyDescent="0.2">
      <c r="A290" s="96"/>
      <c r="B290" s="20"/>
      <c r="C290" s="97"/>
      <c r="D290" s="96"/>
      <c r="E290" s="96"/>
      <c r="F290" s="96"/>
      <c r="G290" s="97"/>
      <c r="H290" s="96"/>
      <c r="I290" s="96"/>
      <c r="J290" s="96"/>
      <c r="K290" s="96"/>
      <c r="L290" s="7"/>
      <c r="M290" s="42"/>
      <c r="N290" s="42"/>
      <c r="O290" s="42"/>
      <c r="P290" s="42"/>
      <c r="Q290" s="42"/>
      <c r="R290" s="42"/>
      <c r="S290" s="42"/>
      <c r="T290" s="42"/>
      <c r="U290" s="7"/>
      <c r="V290" s="7"/>
      <c r="W290" s="7"/>
      <c r="X290" s="7"/>
    </row>
    <row r="291" spans="1:24" s="5" customFormat="1" ht="12.75" x14ac:dyDescent="0.2">
      <c r="A291" s="96"/>
      <c r="B291" s="20"/>
      <c r="C291" s="97"/>
      <c r="D291" s="96"/>
      <c r="E291" s="96"/>
      <c r="F291" s="96"/>
      <c r="G291" s="97"/>
      <c r="H291" s="96"/>
      <c r="I291" s="96"/>
      <c r="J291" s="96"/>
      <c r="K291" s="96"/>
      <c r="L291" s="7"/>
      <c r="M291" s="42"/>
      <c r="N291" s="42"/>
      <c r="O291" s="42"/>
      <c r="P291" s="42"/>
      <c r="Q291" s="42"/>
      <c r="R291" s="42"/>
      <c r="S291" s="42"/>
      <c r="T291" s="42"/>
      <c r="U291" s="7"/>
      <c r="V291" s="7"/>
      <c r="W291" s="7"/>
      <c r="X291" s="7"/>
    </row>
    <row r="292" spans="1:24" s="5" customFormat="1" ht="12.75" x14ac:dyDescent="0.2">
      <c r="A292" s="96"/>
      <c r="B292" s="20"/>
      <c r="C292" s="97"/>
      <c r="D292" s="96"/>
      <c r="E292" s="96"/>
      <c r="F292" s="96"/>
      <c r="G292" s="97"/>
      <c r="H292" s="96"/>
      <c r="I292" s="96"/>
      <c r="J292" s="96"/>
      <c r="K292" s="96"/>
      <c r="L292" s="7"/>
      <c r="M292" s="42"/>
      <c r="N292" s="42"/>
      <c r="O292" s="42"/>
      <c r="P292" s="42"/>
      <c r="Q292" s="42"/>
      <c r="R292" s="42"/>
      <c r="S292" s="42"/>
      <c r="T292" s="42"/>
      <c r="U292" s="7"/>
      <c r="V292" s="7"/>
      <c r="W292" s="7"/>
      <c r="X292" s="7"/>
    </row>
    <row r="293" spans="1:24" s="5" customFormat="1" ht="12.75" x14ac:dyDescent="0.2">
      <c r="A293" s="96"/>
      <c r="B293" s="20"/>
      <c r="C293" s="97"/>
      <c r="D293" s="96"/>
      <c r="E293" s="96"/>
      <c r="F293" s="96"/>
      <c r="G293" s="97"/>
      <c r="H293" s="96"/>
      <c r="I293" s="96"/>
      <c r="J293" s="96"/>
      <c r="K293" s="96"/>
      <c r="L293" s="7"/>
      <c r="M293" s="42"/>
      <c r="N293" s="42"/>
      <c r="O293" s="42"/>
      <c r="P293" s="42"/>
      <c r="Q293" s="42"/>
      <c r="R293" s="42"/>
      <c r="S293" s="42"/>
      <c r="T293" s="42"/>
      <c r="U293" s="7"/>
      <c r="V293" s="7"/>
      <c r="W293" s="7"/>
      <c r="X293" s="7"/>
    </row>
    <row r="294" spans="1:24" s="5" customFormat="1" ht="12.75" x14ac:dyDescent="0.2">
      <c r="A294" s="96"/>
      <c r="B294" s="20"/>
      <c r="C294" s="97"/>
      <c r="D294" s="96"/>
      <c r="E294" s="96"/>
      <c r="F294" s="96"/>
      <c r="G294" s="97"/>
      <c r="H294" s="96"/>
      <c r="I294" s="96"/>
      <c r="J294" s="96"/>
      <c r="K294" s="96"/>
      <c r="L294" s="7"/>
      <c r="M294" s="42"/>
      <c r="N294" s="42"/>
      <c r="O294" s="42"/>
      <c r="P294" s="42"/>
      <c r="Q294" s="42"/>
      <c r="R294" s="42"/>
      <c r="S294" s="42"/>
      <c r="T294" s="42"/>
      <c r="U294" s="7"/>
      <c r="V294" s="7"/>
      <c r="W294" s="7"/>
      <c r="X294" s="7"/>
    </row>
    <row r="295" spans="1:24" s="5" customFormat="1" ht="12.75" x14ac:dyDescent="0.2">
      <c r="A295" s="96"/>
      <c r="B295" s="20"/>
      <c r="C295" s="97"/>
      <c r="D295" s="96"/>
      <c r="E295" s="96"/>
      <c r="F295" s="96"/>
      <c r="G295" s="97"/>
      <c r="H295" s="96"/>
      <c r="I295" s="96"/>
      <c r="J295" s="96"/>
      <c r="K295" s="96"/>
      <c r="L295" s="7"/>
      <c r="M295" s="42"/>
      <c r="N295" s="42"/>
      <c r="O295" s="42"/>
      <c r="P295" s="42"/>
      <c r="Q295" s="42"/>
      <c r="R295" s="42"/>
      <c r="S295" s="42"/>
      <c r="T295" s="42"/>
      <c r="U295" s="7"/>
      <c r="V295" s="7"/>
      <c r="W295" s="7"/>
      <c r="X295" s="7"/>
    </row>
    <row r="296" spans="1:24" s="5" customFormat="1" ht="12.75" x14ac:dyDescent="0.2">
      <c r="A296" s="96"/>
      <c r="B296" s="20"/>
      <c r="C296" s="97"/>
      <c r="D296" s="96"/>
      <c r="E296" s="96"/>
      <c r="F296" s="96"/>
      <c r="G296" s="97"/>
      <c r="H296" s="96"/>
      <c r="I296" s="96"/>
      <c r="J296" s="96"/>
      <c r="K296" s="96"/>
      <c r="L296" s="7"/>
      <c r="M296" s="42"/>
      <c r="N296" s="42"/>
      <c r="O296" s="42"/>
      <c r="P296" s="42"/>
      <c r="Q296" s="42"/>
      <c r="R296" s="42"/>
      <c r="S296" s="42"/>
      <c r="T296" s="42"/>
      <c r="U296" s="7"/>
      <c r="V296" s="7"/>
      <c r="W296" s="7"/>
      <c r="X296" s="7"/>
    </row>
    <row r="297" spans="1:24" s="5" customFormat="1" ht="12.75" x14ac:dyDescent="0.2">
      <c r="A297" s="98" t="s">
        <v>86</v>
      </c>
      <c r="B297" s="98"/>
      <c r="C297" s="98"/>
      <c r="D297" s="98"/>
      <c r="E297" s="98"/>
      <c r="F297" s="98"/>
      <c r="G297" s="99"/>
      <c r="H297" s="99"/>
      <c r="I297" s="99"/>
      <c r="J297" s="99"/>
      <c r="K297" s="100"/>
      <c r="L297" s="7"/>
      <c r="M297" s="42"/>
      <c r="N297" s="42"/>
      <c r="O297" s="42"/>
      <c r="P297" s="42"/>
      <c r="Q297" s="42"/>
      <c r="R297" s="42"/>
      <c r="S297" s="42"/>
      <c r="T297" s="42"/>
      <c r="U297" s="7"/>
      <c r="V297" s="7"/>
      <c r="W297" s="7"/>
      <c r="X297" s="7"/>
    </row>
    <row r="298" spans="1:24" s="5" customFormat="1" ht="12.75" x14ac:dyDescent="0.2">
      <c r="A298" s="101"/>
      <c r="B298" s="101"/>
      <c r="C298" s="101"/>
      <c r="D298" s="102"/>
      <c r="E298" s="102"/>
      <c r="F298" s="103" t="s">
        <v>87</v>
      </c>
      <c r="G298" s="104" t="s">
        <v>88</v>
      </c>
      <c r="H298" s="105"/>
      <c r="I298" s="106"/>
      <c r="J298" s="106"/>
      <c r="K298" s="107"/>
      <c r="L298" s="7"/>
      <c r="M298" s="42"/>
      <c r="N298" s="42"/>
      <c r="O298" s="42"/>
      <c r="P298" s="42"/>
      <c r="Q298" s="42"/>
      <c r="R298" s="42"/>
      <c r="S298" s="42"/>
      <c r="T298" s="42"/>
      <c r="U298" s="7"/>
      <c r="V298" s="7"/>
      <c r="W298" s="7"/>
      <c r="X298" s="7"/>
    </row>
    <row r="299" spans="1:24" s="5" customFormat="1" ht="12.75" x14ac:dyDescent="0.2">
      <c r="A299" s="14"/>
      <c r="E299" s="15" t="s">
        <v>0</v>
      </c>
      <c r="F299" s="16" t="str">
        <f>$C$1</f>
        <v>R. Abbott</v>
      </c>
      <c r="H299" s="17"/>
      <c r="I299" s="15" t="s">
        <v>46</v>
      </c>
      <c r="J299" s="18" t="str">
        <f>$G$2</f>
        <v>AA-SM-515-001</v>
      </c>
      <c r="K299" s="19"/>
      <c r="L299" s="20"/>
      <c r="M299" s="42"/>
      <c r="N299" s="42"/>
      <c r="O299" s="42"/>
      <c r="P299" s="42"/>
      <c r="Q299" s="45"/>
      <c r="R299" s="46"/>
      <c r="S299" s="47"/>
      <c r="T299" s="44"/>
    </row>
    <row r="300" spans="1:24" s="5" customFormat="1" ht="12.75" x14ac:dyDescent="0.2">
      <c r="E300" s="15" t="s">
        <v>3</v>
      </c>
      <c r="F300" s="17" t="str">
        <f>$C$2</f>
        <v xml:space="preserve"> </v>
      </c>
      <c r="H300" s="17"/>
      <c r="I300" s="15" t="s">
        <v>47</v>
      </c>
      <c r="J300" s="19" t="str">
        <f>$G$3</f>
        <v>IR</v>
      </c>
      <c r="K300" s="19"/>
      <c r="L300" s="20"/>
      <c r="M300" s="42">
        <v>1</v>
      </c>
      <c r="N300" s="42"/>
      <c r="O300" s="42"/>
      <c r="P300" s="42"/>
      <c r="Q300" s="45"/>
      <c r="R300" s="46"/>
      <c r="S300" s="47"/>
      <c r="T300" s="44"/>
    </row>
    <row r="301" spans="1:24" s="5" customFormat="1" ht="12.75" x14ac:dyDescent="0.2">
      <c r="E301" s="15" t="s">
        <v>6</v>
      </c>
      <c r="F301" s="17" t="str">
        <f>$C$3</f>
        <v>05/03/2017</v>
      </c>
      <c r="H301" s="17"/>
      <c r="I301" s="15" t="s">
        <v>48</v>
      </c>
      <c r="J301" s="16" t="str">
        <f>L301&amp;" of "&amp;$G$1</f>
        <v>6 of 6</v>
      </c>
      <c r="K301" s="17"/>
      <c r="L301" s="20">
        <f>SUM($M$1:M300)</f>
        <v>6</v>
      </c>
      <c r="M301" s="42"/>
      <c r="N301" s="42"/>
      <c r="O301" s="42"/>
      <c r="P301" s="42"/>
      <c r="Q301" s="45"/>
      <c r="R301" s="46"/>
      <c r="S301" s="47"/>
      <c r="T301" s="44"/>
    </row>
    <row r="302" spans="1:24" s="5" customFormat="1" ht="12.75" x14ac:dyDescent="0.2">
      <c r="E302" s="15" t="s">
        <v>49</v>
      </c>
      <c r="F302" s="17" t="str">
        <f>$C$5</f>
        <v>STANDARD SPREADSHEET METHOD</v>
      </c>
      <c r="I302" s="21"/>
      <c r="J302" s="16"/>
      <c r="M302" s="42"/>
      <c r="N302" s="42"/>
      <c r="O302" s="42"/>
      <c r="P302" s="42"/>
      <c r="Q302" s="42"/>
      <c r="R302" s="42"/>
      <c r="S302" s="43"/>
      <c r="T302" s="44"/>
    </row>
    <row r="303" spans="1:24" s="5" customFormat="1" x14ac:dyDescent="0.25">
      <c r="A303" s="48"/>
      <c r="B303" s="23" t="str">
        <f>$G$4</f>
        <v>SIMPLIFIED PART 23 AIRCRAFT LOADS - AIRCRAFT LOADS</v>
      </c>
      <c r="C303" s="49"/>
      <c r="D303" s="49"/>
      <c r="E303" s="50"/>
      <c r="F303" s="49"/>
      <c r="G303" s="49"/>
      <c r="H303" s="49"/>
      <c r="I303" s="49"/>
      <c r="J303" s="49"/>
      <c r="K303" s="49"/>
      <c r="L303" s="7"/>
      <c r="M303" s="44"/>
      <c r="N303" s="42"/>
      <c r="O303" s="42"/>
      <c r="P303" s="42"/>
      <c r="Q303" s="42"/>
      <c r="R303" s="44"/>
      <c r="S303" s="44"/>
      <c r="T303" s="51"/>
    </row>
    <row r="304" spans="1:24" s="5" customFormat="1" ht="12.75" x14ac:dyDescent="0.2">
      <c r="A304" s="52"/>
      <c r="B304" s="52" t="s">
        <v>50</v>
      </c>
      <c r="C304" s="52"/>
      <c r="D304" s="52"/>
      <c r="E304" s="52"/>
      <c r="F304" s="52"/>
      <c r="G304" s="52"/>
      <c r="H304" s="52"/>
      <c r="I304" s="52"/>
      <c r="J304" s="52"/>
      <c r="K304" s="52"/>
      <c r="L304" s="20"/>
      <c r="M304" s="42"/>
      <c r="N304" s="42"/>
      <c r="O304" s="42"/>
      <c r="P304" s="42"/>
      <c r="Q304" s="42"/>
      <c r="R304" s="42"/>
      <c r="S304" s="42"/>
      <c r="T304" s="42"/>
    </row>
    <row r="305" spans="1:35" s="5" customFormat="1" ht="12.75" x14ac:dyDescent="0.2">
      <c r="A305" s="52"/>
      <c r="B305" s="53" t="s">
        <v>109</v>
      </c>
      <c r="C305" s="52"/>
      <c r="D305" s="54"/>
      <c r="E305" s="52"/>
      <c r="F305" s="52"/>
      <c r="G305" s="52"/>
      <c r="H305" s="52"/>
      <c r="I305" s="52"/>
      <c r="J305" s="52"/>
      <c r="K305" s="52"/>
      <c r="M305" s="44"/>
      <c r="N305" s="42"/>
      <c r="O305" s="42"/>
      <c r="P305" s="42"/>
      <c r="Q305" s="42"/>
      <c r="R305" s="44"/>
      <c r="S305" s="44"/>
      <c r="T305" s="51"/>
    </row>
    <row r="306" spans="1:35" s="5" customFormat="1" ht="12.75" x14ac:dyDescent="0.2">
      <c r="A306" s="52"/>
      <c r="B306" s="52"/>
      <c r="C306" s="52"/>
      <c r="D306" s="54"/>
      <c r="E306" s="52"/>
      <c r="F306" s="52"/>
      <c r="G306" s="52"/>
      <c r="H306" s="52"/>
      <c r="I306" s="52"/>
      <c r="J306" s="52"/>
      <c r="K306" s="52"/>
      <c r="M306" s="44"/>
      <c r="N306" s="42"/>
      <c r="O306" s="42"/>
      <c r="P306" s="42"/>
      <c r="Q306" s="42"/>
      <c r="R306" s="44"/>
      <c r="S306" s="44"/>
      <c r="T306" s="51"/>
      <c r="V306" s="55"/>
      <c r="W306" s="55"/>
      <c r="AC306" s="15"/>
    </row>
    <row r="307" spans="1:35" s="5" customFormat="1" ht="13.5" customHeight="1" x14ac:dyDescent="0.2">
      <c r="A307" s="52"/>
      <c r="B307" s="5" t="s">
        <v>90</v>
      </c>
      <c r="D307" s="54"/>
      <c r="E307" s="52"/>
      <c r="F307" s="52"/>
      <c r="G307" s="52"/>
      <c r="H307" s="52"/>
      <c r="I307" s="52"/>
      <c r="J307" s="52"/>
      <c r="K307" s="52"/>
      <c r="L307" s="7"/>
      <c r="M307" s="44"/>
      <c r="N307" s="42"/>
      <c r="O307" s="42"/>
      <c r="P307" s="42"/>
      <c r="Q307" s="42"/>
      <c r="R307" s="44"/>
      <c r="S307" s="44"/>
      <c r="T307" s="51"/>
      <c r="U307" s="7"/>
      <c r="V307" s="55"/>
      <c r="W307" s="55"/>
      <c r="X307" s="7"/>
      <c r="Z307" s="20"/>
      <c r="AA307" s="56"/>
      <c r="AB307" s="56"/>
    </row>
    <row r="308" spans="1:35" s="5" customFormat="1" ht="12.75" x14ac:dyDescent="0.2">
      <c r="A308" s="52"/>
      <c r="B308" s="54" t="s">
        <v>92</v>
      </c>
      <c r="C308" s="5" t="str">
        <f>[2]!xln(C309)</f>
        <v>3.8 × 12.7</v>
      </c>
      <c r="D308" s="52"/>
      <c r="E308" s="52"/>
      <c r="F308" s="52"/>
      <c r="G308" s="52"/>
      <c r="H308" s="52"/>
      <c r="I308" s="52"/>
      <c r="J308" s="52"/>
      <c r="K308" s="52"/>
      <c r="L308" s="7"/>
      <c r="M308" s="44"/>
      <c r="N308" s="42"/>
      <c r="O308" s="42"/>
      <c r="P308" s="42"/>
      <c r="Q308" s="42"/>
      <c r="R308" s="44"/>
      <c r="S308" s="44"/>
      <c r="T308" s="51"/>
      <c r="U308" s="7"/>
      <c r="V308" s="55"/>
      <c r="W308" s="55"/>
      <c r="X308" s="7"/>
      <c r="Z308" s="56"/>
      <c r="AA308" s="20"/>
      <c r="AB308" s="61"/>
    </row>
    <row r="309" spans="1:35" s="5" customFormat="1" ht="12.75" x14ac:dyDescent="0.2">
      <c r="A309" s="52"/>
      <c r="B309" s="54" t="s">
        <v>78</v>
      </c>
      <c r="C309" s="85">
        <f>C35*C19</f>
        <v>48.223350253807105</v>
      </c>
      <c r="D309" s="92" t="s">
        <v>93</v>
      </c>
      <c r="E309" s="52"/>
      <c r="F309" s="52"/>
      <c r="G309" s="52"/>
      <c r="H309" s="52"/>
      <c r="I309" s="52"/>
      <c r="J309" s="52"/>
      <c r="K309" s="52"/>
      <c r="L309" s="7"/>
      <c r="M309" s="44"/>
      <c r="N309" s="42"/>
      <c r="O309" s="42"/>
      <c r="P309" s="42"/>
      <c r="Q309" s="42"/>
      <c r="R309" s="44"/>
      <c r="S309" s="44"/>
      <c r="T309" s="51"/>
      <c r="U309" s="7"/>
      <c r="V309" s="55"/>
      <c r="W309" s="55"/>
      <c r="X309" s="55">
        <v>0</v>
      </c>
      <c r="Y309" s="5">
        <f>0.78*X309</f>
        <v>0</v>
      </c>
      <c r="Z309" s="20">
        <f>0.64*X309</f>
        <v>0</v>
      </c>
      <c r="AA309" s="20">
        <f>0.466*X309</f>
        <v>0</v>
      </c>
      <c r="AB309" s="55">
        <f>C309</f>
        <v>48.223350253807105</v>
      </c>
      <c r="AC309" s="5">
        <f>0.78*AB309</f>
        <v>37.614213197969541</v>
      </c>
      <c r="AD309" s="20">
        <f>0.64*AB309</f>
        <v>30.862944162436548</v>
      </c>
      <c r="AE309" s="20">
        <f>0.466*AB309</f>
        <v>22.472081218274113</v>
      </c>
      <c r="AF309" s="62"/>
      <c r="AG309" s="62"/>
      <c r="AH309" s="62"/>
    </row>
    <row r="310" spans="1:35" s="5" customFormat="1" ht="12.75" x14ac:dyDescent="0.2">
      <c r="A310" s="52"/>
      <c r="B310" s="54"/>
      <c r="C310" s="71"/>
      <c r="D310" s="52"/>
      <c r="E310" s="52"/>
      <c r="F310" s="52"/>
      <c r="G310" s="52"/>
      <c r="H310" s="52"/>
      <c r="I310" s="52"/>
      <c r="J310" s="52"/>
      <c r="K310" s="52"/>
      <c r="L310" s="7"/>
      <c r="M310" s="44"/>
      <c r="N310" s="42"/>
      <c r="O310" s="42"/>
      <c r="P310" s="42"/>
      <c r="Q310" s="42"/>
      <c r="R310" s="44"/>
      <c r="S310" s="44"/>
      <c r="T310" s="51"/>
      <c r="U310" s="7"/>
      <c r="V310" s="55"/>
      <c r="W310" s="55"/>
      <c r="X310" s="55">
        <v>5</v>
      </c>
      <c r="Y310" s="5">
        <f t="shared" ref="Y310:Y333" si="15">0.78*X310</f>
        <v>3.9000000000000004</v>
      </c>
      <c r="Z310" s="20">
        <f t="shared" ref="Z310:Z333" si="16">0.64*X310</f>
        <v>3.2</v>
      </c>
      <c r="AA310" s="20">
        <f t="shared" ref="AA310:AA333" si="17">0.466*X310</f>
        <v>2.33</v>
      </c>
      <c r="AB310" s="61"/>
      <c r="AC310" s="62"/>
      <c r="AD310" s="62"/>
      <c r="AE310" s="62"/>
      <c r="AF310" s="62"/>
      <c r="AG310" s="62"/>
      <c r="AH310" s="62"/>
      <c r="AI310" s="27"/>
    </row>
    <row r="311" spans="1:35" s="5" customFormat="1" ht="12.75" x14ac:dyDescent="0.2">
      <c r="A311" s="66"/>
      <c r="B311" s="110" t="s">
        <v>110</v>
      </c>
      <c r="C311" s="66"/>
      <c r="D311" s="52"/>
      <c r="E311" s="52"/>
      <c r="F311" s="52"/>
      <c r="G311" s="52"/>
      <c r="H311" s="71"/>
      <c r="I311" s="52"/>
      <c r="J311" s="52"/>
      <c r="K311" s="52"/>
      <c r="L311" s="7"/>
      <c r="M311" s="42"/>
      <c r="N311" s="42"/>
      <c r="O311" s="42"/>
      <c r="P311" s="42"/>
      <c r="Q311" s="42"/>
      <c r="R311" s="42"/>
      <c r="S311" s="42"/>
      <c r="T311" s="42"/>
      <c r="U311" s="7"/>
      <c r="V311" s="55"/>
      <c r="W311" s="55"/>
      <c r="X311" s="55">
        <v>7</v>
      </c>
      <c r="Y311" s="5">
        <f t="shared" si="15"/>
        <v>5.46</v>
      </c>
      <c r="Z311" s="20">
        <f t="shared" si="16"/>
        <v>4.4800000000000004</v>
      </c>
      <c r="AA311" s="20">
        <f t="shared" si="17"/>
        <v>3.262</v>
      </c>
      <c r="AB311" s="61"/>
      <c r="AC311" s="68"/>
      <c r="AD311" s="68"/>
      <c r="AE311" s="68"/>
      <c r="AF311" s="68"/>
      <c r="AG311" s="68"/>
      <c r="AH311" s="68"/>
      <c r="AI311" s="27"/>
    </row>
    <row r="312" spans="1:35" s="5" customFormat="1" ht="12.75" x14ac:dyDescent="0.2">
      <c r="A312" s="66"/>
      <c r="B312" s="54"/>
      <c r="D312" s="54"/>
      <c r="E312" s="52"/>
      <c r="F312" s="73"/>
      <c r="G312" s="52"/>
      <c r="H312" s="73"/>
      <c r="I312" s="52"/>
      <c r="J312" s="52"/>
      <c r="K312" s="52"/>
      <c r="L312" s="7"/>
      <c r="M312" s="42"/>
      <c r="N312" s="42"/>
      <c r="O312" s="42"/>
      <c r="P312" s="42"/>
      <c r="Q312" s="42"/>
      <c r="R312" s="42"/>
      <c r="S312" s="42"/>
      <c r="T312" s="42"/>
      <c r="U312" s="7"/>
      <c r="V312" s="55"/>
      <c r="W312" s="55"/>
      <c r="X312" s="55">
        <v>9</v>
      </c>
      <c r="Y312" s="5">
        <f t="shared" si="15"/>
        <v>7.0200000000000005</v>
      </c>
      <c r="Z312" s="20">
        <f t="shared" si="16"/>
        <v>5.76</v>
      </c>
      <c r="AA312" s="20">
        <f t="shared" si="17"/>
        <v>4.194</v>
      </c>
      <c r="AB312" s="61"/>
    </row>
    <row r="313" spans="1:35" s="5" customFormat="1" ht="12.75" x14ac:dyDescent="0.2">
      <c r="A313" s="66"/>
      <c r="B313" s="52"/>
      <c r="C313" s="65"/>
      <c r="D313" s="87"/>
      <c r="E313" s="52"/>
      <c r="F313" s="73"/>
      <c r="G313" s="52"/>
      <c r="H313" s="73"/>
      <c r="I313" s="52"/>
      <c r="J313" s="52"/>
      <c r="K313" s="52"/>
      <c r="L313" s="7"/>
      <c r="M313" s="42"/>
      <c r="N313" s="42"/>
      <c r="O313" s="42"/>
      <c r="P313" s="42"/>
      <c r="Q313" s="42"/>
      <c r="R313" s="42"/>
      <c r="S313" s="42"/>
      <c r="T313" s="42"/>
      <c r="U313" s="7"/>
      <c r="V313" s="55"/>
      <c r="W313" s="55"/>
      <c r="X313" s="55">
        <v>11</v>
      </c>
      <c r="Y313" s="5">
        <f t="shared" si="15"/>
        <v>8.58</v>
      </c>
      <c r="Z313" s="20">
        <f t="shared" si="16"/>
        <v>7.04</v>
      </c>
      <c r="AA313" s="20">
        <f t="shared" si="17"/>
        <v>5.1260000000000003</v>
      </c>
      <c r="AB313" s="55">
        <f>AB309</f>
        <v>48.223350253807105</v>
      </c>
      <c r="AC313" s="20">
        <v>0</v>
      </c>
      <c r="AH313" s="68"/>
    </row>
    <row r="314" spans="1:35" s="5" customFormat="1" ht="12.75" x14ac:dyDescent="0.2">
      <c r="A314" s="52"/>
      <c r="B314" s="52"/>
      <c r="C314" s="87"/>
      <c r="D314" s="74"/>
      <c r="E314" s="52"/>
      <c r="F314" s="74"/>
      <c r="G314" s="52"/>
      <c r="H314" s="74"/>
      <c r="I314" s="52"/>
      <c r="J314" s="52"/>
      <c r="K314" s="52"/>
      <c r="L314" s="7"/>
      <c r="M314" s="42"/>
      <c r="N314" s="42"/>
      <c r="O314" s="42"/>
      <c r="P314" s="42"/>
      <c r="Q314" s="42"/>
      <c r="R314" s="42"/>
      <c r="S314" s="42"/>
      <c r="T314" s="42"/>
      <c r="U314" s="7"/>
      <c r="V314" s="55"/>
      <c r="W314" s="55"/>
      <c r="X314" s="55">
        <v>13</v>
      </c>
      <c r="Y314" s="5">
        <f t="shared" si="15"/>
        <v>10.14</v>
      </c>
      <c r="Z314" s="20">
        <f t="shared" si="16"/>
        <v>8.32</v>
      </c>
      <c r="AA314" s="20">
        <f t="shared" si="17"/>
        <v>6.0580000000000007</v>
      </c>
      <c r="AB314" s="55">
        <f>AB313</f>
        <v>48.223350253807105</v>
      </c>
      <c r="AC314" s="20">
        <f>AC309</f>
        <v>37.614213197969541</v>
      </c>
      <c r="AD314" s="20"/>
      <c r="AE314" s="20"/>
      <c r="AF314" s="20"/>
      <c r="AG314" s="20"/>
      <c r="AH314" s="68"/>
    </row>
    <row r="315" spans="1:35" s="5" customFormat="1" ht="12.75" x14ac:dyDescent="0.2">
      <c r="A315" s="66"/>
      <c r="B315" s="52"/>
      <c r="C315" s="87"/>
      <c r="D315" s="74"/>
      <c r="E315" s="52"/>
      <c r="F315" s="74"/>
      <c r="G315" s="52"/>
      <c r="H315" s="74"/>
      <c r="I315" s="52"/>
      <c r="J315" s="52"/>
      <c r="K315" s="52"/>
      <c r="L315" s="7"/>
      <c r="M315" s="42"/>
      <c r="N315" s="42"/>
      <c r="O315" s="42"/>
      <c r="P315" s="42"/>
      <c r="Q315" s="42"/>
      <c r="R315" s="42"/>
      <c r="S315" s="42"/>
      <c r="T315" s="42"/>
      <c r="U315" s="7"/>
      <c r="V315" s="55"/>
      <c r="W315" s="55"/>
      <c r="X315" s="55">
        <v>15</v>
      </c>
      <c r="Y315" s="5">
        <f t="shared" si="15"/>
        <v>11.700000000000001</v>
      </c>
      <c r="Z315" s="20">
        <f t="shared" si="16"/>
        <v>9.6</v>
      </c>
      <c r="AA315" s="20">
        <f t="shared" si="17"/>
        <v>6.99</v>
      </c>
      <c r="AB315" s="20">
        <v>0</v>
      </c>
      <c r="AC315" s="20">
        <f>AC309</f>
        <v>37.614213197969541</v>
      </c>
      <c r="AD315" s="20"/>
      <c r="AE315" s="20"/>
      <c r="AF315" s="20"/>
      <c r="AG315" s="20"/>
      <c r="AH315" s="68"/>
    </row>
    <row r="316" spans="1:35" s="5" customFormat="1" ht="12.75" x14ac:dyDescent="0.2">
      <c r="A316" s="66"/>
      <c r="B316" s="66"/>
      <c r="C316" s="87"/>
      <c r="D316" s="74"/>
      <c r="E316" s="52"/>
      <c r="F316" s="74"/>
      <c r="G316" s="52"/>
      <c r="H316" s="74"/>
      <c r="I316" s="52"/>
      <c r="J316" s="52"/>
      <c r="K316" s="52"/>
      <c r="L316" s="7"/>
      <c r="M316" s="42"/>
      <c r="N316" s="42"/>
      <c r="O316" s="42"/>
      <c r="P316" s="42"/>
      <c r="Q316" s="42"/>
      <c r="R316" s="42"/>
      <c r="S316" s="42"/>
      <c r="T316" s="42"/>
      <c r="U316" s="7"/>
      <c r="V316" s="55"/>
      <c r="W316" s="55"/>
      <c r="X316" s="55">
        <v>17</v>
      </c>
      <c r="Y316" s="5">
        <f t="shared" si="15"/>
        <v>13.26</v>
      </c>
      <c r="Z316" s="20">
        <f t="shared" si="16"/>
        <v>10.88</v>
      </c>
      <c r="AA316" s="20">
        <f t="shared" si="17"/>
        <v>7.9220000000000006</v>
      </c>
      <c r="AB316" s="20"/>
      <c r="AC316" s="20"/>
      <c r="AD316" s="20"/>
      <c r="AE316" s="20"/>
      <c r="AF316" s="20"/>
      <c r="AG316" s="20"/>
    </row>
    <row r="317" spans="1:35" s="5" customFormat="1" ht="12.75" x14ac:dyDescent="0.2">
      <c r="A317" s="66"/>
      <c r="B317" s="66"/>
      <c r="C317" s="87"/>
      <c r="D317" s="74"/>
      <c r="E317" s="52"/>
      <c r="F317" s="74"/>
      <c r="G317" s="52"/>
      <c r="H317" s="74"/>
      <c r="I317" s="52"/>
      <c r="J317" s="52"/>
      <c r="K317" s="66"/>
      <c r="L317" s="7"/>
      <c r="M317" s="42"/>
      <c r="N317" s="42"/>
      <c r="O317" s="42"/>
      <c r="P317" s="42"/>
      <c r="Q317" s="42"/>
      <c r="R317" s="42"/>
      <c r="S317" s="42"/>
      <c r="T317" s="42"/>
      <c r="U317" s="7"/>
      <c r="V317" s="55"/>
      <c r="W317" s="55"/>
      <c r="X317" s="55">
        <v>21</v>
      </c>
      <c r="Y317" s="5">
        <f t="shared" si="15"/>
        <v>16.38</v>
      </c>
      <c r="Z317" s="20">
        <f t="shared" si="16"/>
        <v>13.44</v>
      </c>
      <c r="AA317" s="20">
        <f t="shared" si="17"/>
        <v>9.7860000000000014</v>
      </c>
      <c r="AB317" s="55">
        <f>AB313</f>
        <v>48.223350253807105</v>
      </c>
      <c r="AC317" s="20">
        <f>-AC313</f>
        <v>0</v>
      </c>
      <c r="AD317" s="20"/>
      <c r="AE317" s="20"/>
      <c r="AF317" s="20"/>
      <c r="AG317" s="20"/>
    </row>
    <row r="318" spans="1:35" s="5" customFormat="1" ht="12.75" x14ac:dyDescent="0.2">
      <c r="A318" s="66"/>
      <c r="B318" s="66"/>
      <c r="C318" s="87"/>
      <c r="D318" s="74"/>
      <c r="E318" s="52"/>
      <c r="F318" s="74"/>
      <c r="G318" s="52"/>
      <c r="H318" s="74"/>
      <c r="I318" s="52"/>
      <c r="J318" s="52"/>
      <c r="K318" s="66"/>
      <c r="L318" s="7"/>
      <c r="M318" s="42"/>
      <c r="N318" s="42"/>
      <c r="O318" s="42"/>
      <c r="P318" s="42"/>
      <c r="Q318" s="42"/>
      <c r="R318" s="42"/>
      <c r="S318" s="42"/>
      <c r="T318" s="42"/>
      <c r="U318" s="7"/>
      <c r="V318" s="55"/>
      <c r="W318" s="55"/>
      <c r="X318" s="55">
        <v>25</v>
      </c>
      <c r="Y318" s="5">
        <f t="shared" si="15"/>
        <v>19.5</v>
      </c>
      <c r="Z318" s="20">
        <f t="shared" si="16"/>
        <v>16</v>
      </c>
      <c r="AA318" s="20">
        <f t="shared" si="17"/>
        <v>11.65</v>
      </c>
      <c r="AB318" s="55">
        <f>AB314</f>
        <v>48.223350253807105</v>
      </c>
      <c r="AC318" s="20">
        <f>AD309</f>
        <v>30.862944162436548</v>
      </c>
      <c r="AD318" s="20"/>
      <c r="AE318" s="20"/>
      <c r="AF318" s="20"/>
      <c r="AG318" s="20"/>
    </row>
    <row r="319" spans="1:35" s="5" customFormat="1" ht="12.75" x14ac:dyDescent="0.2">
      <c r="A319" s="52"/>
      <c r="B319" s="52"/>
      <c r="C319" s="52"/>
      <c r="D319" s="52"/>
      <c r="E319" s="52"/>
      <c r="F319" s="52"/>
      <c r="G319" s="52"/>
      <c r="H319" s="52"/>
      <c r="I319" s="52"/>
      <c r="J319" s="52"/>
      <c r="K319" s="52"/>
      <c r="L319" s="7"/>
      <c r="M319" s="42"/>
      <c r="N319" s="42"/>
      <c r="O319" s="42"/>
      <c r="P319" s="42"/>
      <c r="Q319" s="42"/>
      <c r="R319" s="42"/>
      <c r="S319" s="42"/>
      <c r="T319" s="42"/>
      <c r="U319" s="7"/>
      <c r="V319" s="55"/>
      <c r="W319" s="55"/>
      <c r="X319" s="55">
        <v>29</v>
      </c>
      <c r="Y319" s="5">
        <f t="shared" si="15"/>
        <v>22.62</v>
      </c>
      <c r="Z319" s="20">
        <f t="shared" si="16"/>
        <v>18.559999999999999</v>
      </c>
      <c r="AA319" s="20">
        <f t="shared" si="17"/>
        <v>13.514000000000001</v>
      </c>
      <c r="AB319" s="20">
        <f>-AB315</f>
        <v>0</v>
      </c>
      <c r="AC319" s="70">
        <f>AD309</f>
        <v>30.862944162436548</v>
      </c>
      <c r="AD319" s="68"/>
      <c r="AE319" s="68"/>
      <c r="AF319" s="68"/>
      <c r="AG319" s="68"/>
      <c r="AH319" s="68"/>
      <c r="AI319" s="27"/>
    </row>
    <row r="320" spans="1:35" s="5" customFormat="1" ht="12.75" x14ac:dyDescent="0.2">
      <c r="A320" s="52"/>
      <c r="B320" s="52"/>
      <c r="C320" s="52"/>
      <c r="D320" s="52"/>
      <c r="E320" s="52"/>
      <c r="F320" s="52"/>
      <c r="G320" s="52"/>
      <c r="H320" s="52"/>
      <c r="I320" s="52"/>
      <c r="J320" s="52"/>
      <c r="K320" s="52"/>
      <c r="L320" s="7"/>
      <c r="M320" s="42"/>
      <c r="N320" s="42"/>
      <c r="O320" s="42"/>
      <c r="P320" s="42"/>
      <c r="Q320" s="42"/>
      <c r="R320" s="42"/>
      <c r="S320" s="42"/>
      <c r="T320" s="42"/>
      <c r="U320" s="7"/>
      <c r="V320" s="55"/>
      <c r="W320" s="55"/>
      <c r="X320" s="55">
        <v>33</v>
      </c>
      <c r="Y320" s="5">
        <f t="shared" si="15"/>
        <v>25.740000000000002</v>
      </c>
      <c r="Z320" s="20">
        <f t="shared" si="16"/>
        <v>21.12</v>
      </c>
      <c r="AA320" s="20">
        <f t="shared" si="17"/>
        <v>15.378</v>
      </c>
      <c r="AB320" s="20"/>
      <c r="AC320" s="20"/>
      <c r="AE320" s="75"/>
      <c r="AF320" s="75"/>
      <c r="AG320" s="75"/>
      <c r="AH320" s="75"/>
      <c r="AI320" s="76"/>
    </row>
    <row r="321" spans="1:35" s="5" customFormat="1" ht="12.75" x14ac:dyDescent="0.2">
      <c r="A321" s="54"/>
      <c r="B321" s="52"/>
      <c r="C321" s="52"/>
      <c r="D321" s="112"/>
      <c r="E321" s="52"/>
      <c r="F321" s="52"/>
      <c r="G321" s="52"/>
      <c r="H321" s="52"/>
      <c r="I321" s="52"/>
      <c r="J321" s="52"/>
      <c r="K321" s="52"/>
      <c r="L321" s="7"/>
      <c r="M321" s="42"/>
      <c r="N321" s="42"/>
      <c r="O321" s="42"/>
      <c r="P321" s="42"/>
      <c r="Q321" s="42"/>
      <c r="R321" s="42"/>
      <c r="S321" s="42"/>
      <c r="T321" s="42"/>
      <c r="U321" s="7"/>
      <c r="V321" s="55"/>
      <c r="W321" s="55"/>
      <c r="X321" s="55">
        <v>37</v>
      </c>
      <c r="Y321" s="5">
        <f t="shared" si="15"/>
        <v>28.86</v>
      </c>
      <c r="Z321" s="20">
        <f t="shared" si="16"/>
        <v>23.68</v>
      </c>
      <c r="AA321" s="20">
        <f t="shared" si="17"/>
        <v>17.242000000000001</v>
      </c>
      <c r="AB321" s="55">
        <f>AB317</f>
        <v>48.223350253807105</v>
      </c>
      <c r="AC321" s="20">
        <f>-AC317</f>
        <v>0</v>
      </c>
      <c r="AD321" s="20"/>
      <c r="AE321" s="75"/>
      <c r="AF321" s="75"/>
      <c r="AG321" s="75"/>
      <c r="AH321" s="75"/>
      <c r="AI321" s="76"/>
    </row>
    <row r="322" spans="1:35" s="5" customFormat="1" ht="12.75" x14ac:dyDescent="0.2">
      <c r="A322" s="54"/>
      <c r="B322" s="113"/>
      <c r="C322" s="71"/>
      <c r="D322" s="82"/>
      <c r="E322" s="52"/>
      <c r="F322" s="54"/>
      <c r="G322" s="72"/>
      <c r="H322" s="52"/>
      <c r="I322" s="52"/>
      <c r="J322" s="52"/>
      <c r="K322" s="52"/>
      <c r="L322" s="7"/>
      <c r="M322" s="42"/>
      <c r="N322" s="42"/>
      <c r="O322" s="42"/>
      <c r="P322" s="42"/>
      <c r="Q322" s="42"/>
      <c r="R322" s="42"/>
      <c r="S322" s="42"/>
      <c r="T322" s="42"/>
      <c r="U322" s="7"/>
      <c r="V322" s="55"/>
      <c r="W322" s="55"/>
      <c r="X322" s="55">
        <v>41</v>
      </c>
      <c r="Y322" s="5">
        <f t="shared" si="15"/>
        <v>31.98</v>
      </c>
      <c r="Z322" s="20">
        <f t="shared" si="16"/>
        <v>26.240000000000002</v>
      </c>
      <c r="AA322" s="20">
        <f t="shared" si="17"/>
        <v>19.106000000000002</v>
      </c>
      <c r="AB322" s="55">
        <f>AB318</f>
        <v>48.223350253807105</v>
      </c>
      <c r="AC322" s="20">
        <f>AE309</f>
        <v>22.472081218274113</v>
      </c>
      <c r="AD322" s="20"/>
      <c r="AE322" s="75"/>
      <c r="AF322" s="75"/>
      <c r="AG322" s="75"/>
      <c r="AH322" s="75"/>
      <c r="AI322" s="76"/>
    </row>
    <row r="323" spans="1:35" s="5" customFormat="1" ht="12.75" x14ac:dyDescent="0.2">
      <c r="A323" s="54"/>
      <c r="B323" s="52"/>
      <c r="C323" s="52"/>
      <c r="D323" s="82"/>
      <c r="E323" s="52"/>
      <c r="F323" s="54"/>
      <c r="G323" s="52"/>
      <c r="H323" s="52"/>
      <c r="I323" s="52"/>
      <c r="J323" s="71"/>
      <c r="K323" s="71"/>
      <c r="L323" s="7"/>
      <c r="M323" s="42"/>
      <c r="N323" s="42"/>
      <c r="O323" s="42"/>
      <c r="P323" s="42"/>
      <c r="Q323" s="42"/>
      <c r="R323" s="42"/>
      <c r="S323" s="42"/>
      <c r="T323" s="42"/>
      <c r="U323" s="7"/>
      <c r="V323" s="55"/>
      <c r="W323" s="55"/>
      <c r="X323" s="55">
        <f>X322+2</f>
        <v>43</v>
      </c>
      <c r="Y323" s="5">
        <f t="shared" si="15"/>
        <v>33.54</v>
      </c>
      <c r="Z323" s="20">
        <f t="shared" si="16"/>
        <v>27.52</v>
      </c>
      <c r="AA323" s="20">
        <f t="shared" si="17"/>
        <v>20.038</v>
      </c>
      <c r="AB323" s="20">
        <f>-AB319</f>
        <v>0</v>
      </c>
      <c r="AC323" s="70">
        <f>AE309</f>
        <v>22.472081218274113</v>
      </c>
      <c r="AE323" s="75"/>
      <c r="AF323" s="75"/>
      <c r="AG323" s="75"/>
      <c r="AH323" s="75"/>
      <c r="AI323" s="76"/>
    </row>
    <row r="324" spans="1:35" s="5" customFormat="1" ht="12.75" x14ac:dyDescent="0.2">
      <c r="A324" s="54"/>
      <c r="B324" s="81"/>
      <c r="C324" s="52"/>
      <c r="D324" s="52"/>
      <c r="E324" s="52"/>
      <c r="F324" s="54"/>
      <c r="G324" s="71"/>
      <c r="H324" s="52"/>
      <c r="I324" s="52"/>
      <c r="J324" s="71"/>
      <c r="K324" s="71"/>
      <c r="L324" s="7"/>
      <c r="M324" s="42"/>
      <c r="N324" s="42"/>
      <c r="O324" s="42"/>
      <c r="P324" s="42"/>
      <c r="Q324" s="42"/>
      <c r="R324" s="42"/>
      <c r="S324" s="42"/>
      <c r="T324" s="42"/>
      <c r="U324" s="7"/>
      <c r="V324" s="55"/>
      <c r="W324" s="55"/>
      <c r="X324" s="55">
        <f t="shared" ref="X324:X326" si="18">X323+2</f>
        <v>45</v>
      </c>
      <c r="Y324" s="5">
        <f t="shared" si="15"/>
        <v>35.1</v>
      </c>
      <c r="Z324" s="20">
        <f t="shared" si="16"/>
        <v>28.8</v>
      </c>
      <c r="AA324" s="20">
        <f t="shared" si="17"/>
        <v>20.970000000000002</v>
      </c>
      <c r="AB324" s="20"/>
      <c r="AC324" s="20"/>
      <c r="AE324" s="75"/>
      <c r="AF324" s="75"/>
      <c r="AG324" s="75"/>
      <c r="AH324" s="75"/>
      <c r="AI324" s="76"/>
    </row>
    <row r="325" spans="1:35" s="5" customFormat="1" ht="12.75" x14ac:dyDescent="0.2">
      <c r="A325" s="52"/>
      <c r="B325" s="52"/>
      <c r="C325" s="52"/>
      <c r="D325" s="114"/>
      <c r="E325" s="52"/>
      <c r="F325" s="54"/>
      <c r="G325" s="52"/>
      <c r="H325" s="52"/>
      <c r="I325" s="52"/>
      <c r="J325" s="52"/>
      <c r="K325" s="52"/>
      <c r="L325" s="7"/>
      <c r="M325" s="42"/>
      <c r="N325" s="42"/>
      <c r="O325" s="42"/>
      <c r="P325" s="42"/>
      <c r="Q325" s="42"/>
      <c r="R325" s="42"/>
      <c r="S325" s="42"/>
      <c r="T325" s="42"/>
      <c r="U325" s="7"/>
      <c r="V325" s="55"/>
      <c r="W325" s="55"/>
      <c r="X325" s="55">
        <f t="shared" si="18"/>
        <v>47</v>
      </c>
      <c r="Y325" s="5">
        <f t="shared" si="15"/>
        <v>36.660000000000004</v>
      </c>
      <c r="Z325" s="20">
        <f t="shared" si="16"/>
        <v>30.080000000000002</v>
      </c>
      <c r="AA325" s="20">
        <f t="shared" si="17"/>
        <v>21.902000000000001</v>
      </c>
      <c r="AD325" s="55"/>
      <c r="AE325" s="61"/>
      <c r="AF325" s="77"/>
      <c r="AG325" s="78"/>
    </row>
    <row r="326" spans="1:35" s="5" customFormat="1" ht="12.75" x14ac:dyDescent="0.2">
      <c r="A326" s="52"/>
      <c r="B326" s="52"/>
      <c r="C326" s="52"/>
      <c r="D326" s="52"/>
      <c r="E326" s="52"/>
      <c r="F326" s="54"/>
      <c r="G326" s="52"/>
      <c r="H326" s="52"/>
      <c r="I326" s="52"/>
      <c r="J326" s="52"/>
      <c r="K326" s="52"/>
      <c r="L326" s="7"/>
      <c r="M326" s="42"/>
      <c r="N326" s="42"/>
      <c r="O326" s="42"/>
      <c r="P326" s="42"/>
      <c r="Q326" s="42"/>
      <c r="R326" s="42"/>
      <c r="S326" s="42"/>
      <c r="T326" s="42"/>
      <c r="U326" s="7"/>
      <c r="V326" s="55"/>
      <c r="W326" s="55"/>
      <c r="X326" s="55">
        <f t="shared" si="18"/>
        <v>49</v>
      </c>
      <c r="Y326" s="5">
        <f t="shared" si="15"/>
        <v>38.22</v>
      </c>
      <c r="Z326" s="20">
        <f t="shared" si="16"/>
        <v>31.36</v>
      </c>
      <c r="AA326" s="20">
        <f t="shared" si="17"/>
        <v>22.834</v>
      </c>
      <c r="AB326" s="20"/>
      <c r="AC326" s="20"/>
      <c r="AE326" s="80"/>
      <c r="AF326" s="80"/>
      <c r="AG326" s="80"/>
      <c r="AH326" s="80"/>
      <c r="AI326" s="80"/>
    </row>
    <row r="327" spans="1:35" s="5" customFormat="1" ht="12.75" x14ac:dyDescent="0.2">
      <c r="A327" s="52"/>
      <c r="B327" s="92"/>
      <c r="C327" s="52"/>
      <c r="D327" s="114"/>
      <c r="E327" s="52"/>
      <c r="F327" s="52"/>
      <c r="G327" s="52"/>
      <c r="H327" s="52"/>
      <c r="I327" s="52"/>
      <c r="J327" s="52"/>
      <c r="K327" s="52"/>
      <c r="L327" s="7"/>
      <c r="M327" s="42"/>
      <c r="N327" s="42"/>
      <c r="O327" s="42"/>
      <c r="P327" s="42"/>
      <c r="Q327" s="42"/>
      <c r="R327" s="42"/>
      <c r="S327" s="42"/>
      <c r="T327" s="42"/>
      <c r="U327" s="7"/>
      <c r="V327" s="55"/>
      <c r="W327" s="55"/>
      <c r="X327" s="55">
        <f>X326+10</f>
        <v>59</v>
      </c>
      <c r="Y327" s="5">
        <f t="shared" si="15"/>
        <v>46.02</v>
      </c>
      <c r="Z327" s="20">
        <f t="shared" si="16"/>
        <v>37.76</v>
      </c>
      <c r="AA327" s="20">
        <f t="shared" si="17"/>
        <v>27.494</v>
      </c>
      <c r="AB327" s="20"/>
      <c r="AC327" s="20"/>
      <c r="AD327" s="20"/>
      <c r="AE327" s="80"/>
      <c r="AF327" s="80"/>
      <c r="AG327" s="80"/>
      <c r="AH327" s="80"/>
      <c r="AI327" s="80"/>
    </row>
    <row r="328" spans="1:35" s="5" customFormat="1" ht="12.75" x14ac:dyDescent="0.2">
      <c r="A328" s="52"/>
      <c r="B328" s="52"/>
      <c r="C328" s="52"/>
      <c r="D328" s="52"/>
      <c r="E328" s="52"/>
      <c r="F328" s="52"/>
      <c r="G328" s="52"/>
      <c r="H328" s="52"/>
      <c r="I328" s="52"/>
      <c r="J328" s="52"/>
      <c r="K328" s="52"/>
      <c r="L328" s="7"/>
      <c r="M328" s="42"/>
      <c r="N328" s="42"/>
      <c r="O328" s="42"/>
      <c r="P328" s="42"/>
      <c r="Q328" s="42"/>
      <c r="R328" s="42"/>
      <c r="S328" s="42"/>
      <c r="T328" s="42"/>
      <c r="U328" s="7"/>
      <c r="V328" s="55"/>
      <c r="W328" s="55"/>
      <c r="X328" s="55">
        <f t="shared" ref="X328:X331" si="19">X327+10</f>
        <v>69</v>
      </c>
      <c r="Y328" s="5">
        <f t="shared" si="15"/>
        <v>53.82</v>
      </c>
      <c r="Z328" s="20">
        <f t="shared" si="16"/>
        <v>44.160000000000004</v>
      </c>
      <c r="AA328" s="20">
        <f t="shared" si="17"/>
        <v>32.154000000000003</v>
      </c>
      <c r="AB328" s="20"/>
      <c r="AC328" s="20"/>
      <c r="AE328" s="80"/>
      <c r="AF328" s="80"/>
      <c r="AG328" s="80"/>
      <c r="AH328" s="80"/>
      <c r="AI328" s="80"/>
    </row>
    <row r="329" spans="1:35" s="5" customFormat="1" ht="12.75" x14ac:dyDescent="0.2">
      <c r="A329" s="54"/>
      <c r="B329" s="54"/>
      <c r="C329" s="52"/>
      <c r="D329" s="52"/>
      <c r="E329" s="52"/>
      <c r="F329" s="52"/>
      <c r="G329" s="52"/>
      <c r="H329" s="52"/>
      <c r="I329" s="52"/>
      <c r="J329" s="71"/>
      <c r="K329" s="52"/>
      <c r="L329" s="7"/>
      <c r="M329" s="42"/>
      <c r="N329" s="42"/>
      <c r="O329" s="42"/>
      <c r="P329" s="42"/>
      <c r="Q329" s="42"/>
      <c r="R329" s="42"/>
      <c r="S329" s="42"/>
      <c r="T329" s="42"/>
      <c r="U329" s="7"/>
      <c r="V329" s="55"/>
      <c r="W329" s="55"/>
      <c r="X329" s="55">
        <f t="shared" si="19"/>
        <v>79</v>
      </c>
      <c r="Y329" s="5">
        <f t="shared" si="15"/>
        <v>61.620000000000005</v>
      </c>
      <c r="Z329" s="20">
        <f t="shared" si="16"/>
        <v>50.56</v>
      </c>
      <c r="AA329" s="20">
        <f t="shared" si="17"/>
        <v>36.814</v>
      </c>
      <c r="AB329" s="20"/>
      <c r="AC329" s="20"/>
      <c r="AE329" s="80"/>
      <c r="AF329" s="80"/>
      <c r="AG329" s="80"/>
      <c r="AH329" s="80"/>
      <c r="AI329" s="80"/>
    </row>
    <row r="330" spans="1:35" s="5" customFormat="1" ht="12.75" x14ac:dyDescent="0.2">
      <c r="A330" s="52"/>
      <c r="B330" s="90"/>
      <c r="C330" s="115"/>
      <c r="D330" s="82"/>
      <c r="E330" s="52"/>
      <c r="F330" s="52"/>
      <c r="G330" s="52"/>
      <c r="H330" s="52"/>
      <c r="I330" s="52"/>
      <c r="J330" s="52"/>
      <c r="K330" s="52"/>
      <c r="L330" s="7"/>
      <c r="M330" s="42"/>
      <c r="N330" s="42"/>
      <c r="O330" s="42"/>
      <c r="P330" s="42"/>
      <c r="Q330" s="42"/>
      <c r="R330" s="42"/>
      <c r="S330" s="42"/>
      <c r="T330" s="42"/>
      <c r="U330" s="7"/>
      <c r="V330" s="55"/>
      <c r="W330" s="55"/>
      <c r="X330" s="55">
        <f t="shared" si="19"/>
        <v>89</v>
      </c>
      <c r="Y330" s="5">
        <f t="shared" si="15"/>
        <v>69.42</v>
      </c>
      <c r="Z330" s="20">
        <f t="shared" si="16"/>
        <v>56.96</v>
      </c>
      <c r="AA330" s="20">
        <f t="shared" si="17"/>
        <v>41.474000000000004</v>
      </c>
      <c r="AB330" s="20"/>
      <c r="AC330" s="20"/>
      <c r="AE330" s="80"/>
      <c r="AF330" s="80"/>
      <c r="AG330" s="80"/>
      <c r="AH330" s="80"/>
      <c r="AI330" s="80"/>
    </row>
    <row r="331" spans="1:35" s="5" customFormat="1" ht="12.75" x14ac:dyDescent="0.2">
      <c r="A331" s="52"/>
      <c r="B331" s="54"/>
      <c r="C331" s="72"/>
      <c r="D331" s="52"/>
      <c r="E331" s="52"/>
      <c r="F331" s="52"/>
      <c r="G331" s="52"/>
      <c r="H331" s="52"/>
      <c r="I331" s="52"/>
      <c r="J331" s="87"/>
      <c r="K331" s="52"/>
      <c r="L331" s="7"/>
      <c r="M331" s="42"/>
      <c r="N331" s="42"/>
      <c r="O331" s="42"/>
      <c r="P331" s="42"/>
      <c r="Q331" s="42"/>
      <c r="R331" s="42"/>
      <c r="S331" s="42"/>
      <c r="T331" s="42"/>
      <c r="U331" s="7"/>
      <c r="V331" s="55"/>
      <c r="W331" s="55"/>
      <c r="X331" s="55">
        <f t="shared" si="19"/>
        <v>99</v>
      </c>
      <c r="Y331" s="5">
        <f t="shared" si="15"/>
        <v>77.22</v>
      </c>
      <c r="Z331" s="20">
        <f t="shared" si="16"/>
        <v>63.36</v>
      </c>
      <c r="AA331" s="20">
        <f t="shared" si="17"/>
        <v>46.134</v>
      </c>
    </row>
    <row r="332" spans="1:35" s="5" customFormat="1" ht="12.75" x14ac:dyDescent="0.2">
      <c r="A332" s="54"/>
      <c r="F332" s="54"/>
      <c r="G332" s="81"/>
      <c r="H332" s="52"/>
      <c r="I332" s="52"/>
      <c r="J332" s="52"/>
      <c r="K332" s="52"/>
      <c r="L332" s="7"/>
      <c r="M332" s="42"/>
      <c r="N332" s="42"/>
      <c r="O332" s="42"/>
      <c r="P332" s="42"/>
      <c r="Q332" s="42"/>
      <c r="R332" s="42"/>
      <c r="S332" s="42"/>
      <c r="T332" s="42"/>
      <c r="U332" s="7"/>
      <c r="V332" s="55"/>
      <c r="W332" s="55"/>
      <c r="X332" s="55">
        <f>X331+10</f>
        <v>109</v>
      </c>
      <c r="Y332" s="5">
        <f t="shared" si="15"/>
        <v>85.02</v>
      </c>
      <c r="Z332" s="20">
        <f t="shared" si="16"/>
        <v>69.760000000000005</v>
      </c>
      <c r="AA332" s="20">
        <f t="shared" si="17"/>
        <v>50.794000000000004</v>
      </c>
      <c r="AI332" s="68"/>
    </row>
    <row r="333" spans="1:35" s="5" customFormat="1" ht="12.75" x14ac:dyDescent="0.2">
      <c r="A333" s="52"/>
      <c r="B333" s="132" t="s">
        <v>115</v>
      </c>
      <c r="C333" s="52"/>
      <c r="D333" s="52"/>
      <c r="E333" s="54" t="s">
        <v>116</v>
      </c>
      <c r="F333" s="72">
        <f>AC314</f>
        <v>37.614213197969541</v>
      </c>
      <c r="G333" s="92" t="s">
        <v>93</v>
      </c>
      <c r="H333" s="52"/>
      <c r="I333" s="52"/>
      <c r="J333" s="52"/>
      <c r="K333" s="52"/>
      <c r="L333" s="7"/>
      <c r="M333" s="42"/>
      <c r="N333" s="42"/>
      <c r="O333" s="42"/>
      <c r="P333" s="42"/>
      <c r="Q333" s="42"/>
      <c r="R333" s="42"/>
      <c r="S333" s="42"/>
      <c r="T333" s="42"/>
      <c r="U333" s="7"/>
      <c r="V333" s="55"/>
      <c r="W333" s="55"/>
      <c r="X333" s="55">
        <v>120</v>
      </c>
      <c r="Y333" s="5">
        <f t="shared" si="15"/>
        <v>93.600000000000009</v>
      </c>
      <c r="Z333" s="20">
        <f t="shared" si="16"/>
        <v>76.8</v>
      </c>
      <c r="AA333" s="20">
        <f t="shared" si="17"/>
        <v>55.92</v>
      </c>
      <c r="AI333" s="68"/>
    </row>
    <row r="334" spans="1:35" s="5" customFormat="1" ht="12.75" x14ac:dyDescent="0.2">
      <c r="A334" s="52"/>
      <c r="B334" s="21"/>
      <c r="E334" s="15"/>
      <c r="F334" s="72"/>
      <c r="G334" s="52"/>
      <c r="H334" s="52"/>
      <c r="I334" s="52"/>
      <c r="J334" s="52"/>
      <c r="K334" s="52"/>
      <c r="L334" s="7"/>
      <c r="M334" s="42"/>
      <c r="N334" s="42"/>
      <c r="O334" s="42"/>
      <c r="P334" s="42"/>
      <c r="Q334" s="42"/>
      <c r="R334" s="42"/>
      <c r="S334" s="42"/>
      <c r="T334" s="42"/>
      <c r="U334" s="7"/>
      <c r="V334" s="55"/>
      <c r="W334" s="55"/>
      <c r="X334" s="7"/>
      <c r="Y334" s="20"/>
      <c r="Z334" s="20"/>
      <c r="AA334" s="55"/>
      <c r="AI334" s="68"/>
    </row>
    <row r="335" spans="1:35" s="5" customFormat="1" ht="12.75" x14ac:dyDescent="0.2">
      <c r="A335" s="54"/>
      <c r="B335" s="132" t="s">
        <v>117</v>
      </c>
      <c r="C335" s="115"/>
      <c r="D335" s="82"/>
      <c r="E335" s="54" t="s">
        <v>118</v>
      </c>
      <c r="F335" s="129">
        <f>AC318</f>
        <v>30.862944162436548</v>
      </c>
      <c r="G335" s="92" t="s">
        <v>93</v>
      </c>
      <c r="H335" s="52"/>
      <c r="I335" s="52"/>
      <c r="J335" s="52"/>
      <c r="K335" s="52"/>
      <c r="L335" s="7"/>
      <c r="M335" s="42"/>
      <c r="N335" s="42"/>
      <c r="O335" s="42"/>
      <c r="P335" s="42"/>
      <c r="Q335" s="42"/>
      <c r="R335" s="42"/>
      <c r="S335" s="42"/>
      <c r="T335" s="42"/>
      <c r="U335" s="7"/>
      <c r="V335" s="55"/>
      <c r="W335" s="55"/>
      <c r="X335" s="7"/>
      <c r="Y335" s="20"/>
      <c r="AA335" s="55"/>
      <c r="AI335" s="68"/>
    </row>
    <row r="336" spans="1:35" s="5" customFormat="1" ht="12.75" x14ac:dyDescent="0.2">
      <c r="A336" s="52"/>
      <c r="B336" s="119"/>
      <c r="C336" s="85"/>
      <c r="D336" s="82"/>
      <c r="E336" s="87"/>
      <c r="F336" s="52"/>
      <c r="G336" s="85"/>
      <c r="H336" s="52"/>
      <c r="I336" s="91"/>
      <c r="J336" s="52"/>
      <c r="K336" s="52"/>
      <c r="L336" s="7"/>
      <c r="M336" s="42"/>
      <c r="N336" s="42"/>
      <c r="O336" s="42"/>
      <c r="P336" s="42"/>
      <c r="Q336" s="42"/>
      <c r="R336" s="42"/>
      <c r="S336" s="42"/>
      <c r="T336" s="42"/>
      <c r="U336" s="7"/>
      <c r="V336" s="55"/>
      <c r="W336" s="55"/>
      <c r="X336" s="7"/>
      <c r="Y336" s="20"/>
      <c r="AA336" s="55"/>
    </row>
    <row r="337" spans="1:34" s="5" customFormat="1" ht="12.75" x14ac:dyDescent="0.2">
      <c r="A337" s="52"/>
      <c r="B337" s="133" t="s">
        <v>119</v>
      </c>
      <c r="C337" s="85"/>
      <c r="D337" s="52"/>
      <c r="E337" s="54" t="s">
        <v>120</v>
      </c>
      <c r="F337" s="129">
        <f>AC323</f>
        <v>22.472081218274113</v>
      </c>
      <c r="G337" s="92" t="s">
        <v>93</v>
      </c>
      <c r="H337" s="52"/>
      <c r="I337" s="52"/>
      <c r="J337" s="52"/>
      <c r="K337" s="52"/>
      <c r="L337" s="7"/>
      <c r="M337" s="42"/>
      <c r="N337" s="42"/>
      <c r="O337" s="42"/>
      <c r="P337" s="42"/>
      <c r="Q337" s="42"/>
      <c r="R337" s="42"/>
      <c r="S337" s="42"/>
      <c r="T337" s="42"/>
      <c r="U337" s="7"/>
      <c r="V337" s="55"/>
      <c r="W337" s="55"/>
      <c r="X337" s="7"/>
      <c r="AH337" s="68"/>
    </row>
    <row r="338" spans="1:34" s="5" customFormat="1" ht="12.75" x14ac:dyDescent="0.2">
      <c r="A338" s="52"/>
      <c r="B338" s="54"/>
      <c r="C338" s="130"/>
      <c r="D338" s="52"/>
      <c r="E338" s="52"/>
      <c r="F338" s="73"/>
      <c r="G338" s="52"/>
      <c r="H338" s="52"/>
      <c r="I338" s="73"/>
      <c r="J338" s="52"/>
      <c r="K338" s="52"/>
      <c r="L338" s="7"/>
      <c r="M338" s="42"/>
      <c r="N338" s="42"/>
      <c r="O338" s="42"/>
      <c r="P338" s="42"/>
      <c r="Q338" s="42"/>
      <c r="R338" s="42"/>
      <c r="S338" s="42"/>
      <c r="T338" s="42"/>
      <c r="U338" s="7"/>
      <c r="V338" s="55"/>
      <c r="W338" s="55"/>
      <c r="X338" s="7"/>
      <c r="Y338" s="20"/>
      <c r="AA338" s="89"/>
    </row>
    <row r="339" spans="1:34" s="5" customFormat="1" ht="12.75" x14ac:dyDescent="0.2">
      <c r="A339" s="52"/>
      <c r="B339" s="54"/>
      <c r="C339" s="131"/>
      <c r="D339" s="52"/>
      <c r="E339" s="53"/>
      <c r="F339" s="73"/>
      <c r="G339" s="52"/>
      <c r="H339" s="52"/>
      <c r="I339" s="73"/>
      <c r="J339" s="52"/>
      <c r="K339" s="52"/>
      <c r="L339" s="7"/>
      <c r="M339" s="42"/>
      <c r="N339" s="42"/>
      <c r="O339" s="42"/>
      <c r="P339" s="42"/>
      <c r="Q339" s="42"/>
      <c r="R339" s="42"/>
      <c r="S339" s="42"/>
      <c r="T339" s="42"/>
      <c r="U339" s="7"/>
      <c r="V339" s="55"/>
      <c r="W339" s="55"/>
      <c r="X339" s="7"/>
      <c r="Y339" s="70"/>
      <c r="AA339" s="80"/>
    </row>
    <row r="340" spans="1:34" s="5" customFormat="1" ht="12.75" x14ac:dyDescent="0.2">
      <c r="A340" s="52"/>
      <c r="B340" s="53"/>
      <c r="C340" s="53"/>
      <c r="D340" s="73"/>
      <c r="E340" s="53"/>
      <c r="F340" s="73"/>
      <c r="G340" s="52"/>
      <c r="H340" s="52"/>
      <c r="I340" s="73"/>
      <c r="J340" s="52"/>
      <c r="K340" s="52"/>
      <c r="L340" s="7"/>
      <c r="M340" s="42"/>
      <c r="N340" s="42"/>
      <c r="O340" s="42"/>
      <c r="P340" s="42"/>
      <c r="Q340" s="42"/>
      <c r="R340" s="42"/>
      <c r="S340" s="42"/>
      <c r="T340" s="42"/>
      <c r="U340" s="7"/>
      <c r="V340" s="55"/>
      <c r="W340" s="55"/>
      <c r="X340" s="7"/>
      <c r="Y340" s="70"/>
      <c r="Z340" s="20"/>
      <c r="AA340" s="80"/>
    </row>
    <row r="341" spans="1:34" s="5" customFormat="1" ht="12.75" x14ac:dyDescent="0.2">
      <c r="A341" s="52"/>
      <c r="B341" s="119"/>
      <c r="C341" s="73"/>
      <c r="D341" s="73"/>
      <c r="E341" s="53"/>
      <c r="F341" s="73"/>
      <c r="G341" s="52"/>
      <c r="H341" s="52"/>
      <c r="I341" s="73"/>
      <c r="J341" s="52"/>
      <c r="K341" s="52"/>
      <c r="L341" s="7"/>
      <c r="M341" s="42"/>
      <c r="N341" s="42"/>
      <c r="O341" s="42"/>
      <c r="P341" s="42"/>
      <c r="Q341" s="42"/>
      <c r="R341" s="42"/>
      <c r="S341" s="42"/>
      <c r="T341" s="42"/>
      <c r="U341" s="7"/>
      <c r="V341" s="55"/>
      <c r="W341" s="55"/>
      <c r="X341" s="7"/>
      <c r="Y341" s="20"/>
      <c r="Z341" s="68"/>
      <c r="AA341" s="89"/>
      <c r="AB341" s="68"/>
    </row>
    <row r="342" spans="1:34" s="5" customFormat="1" ht="12.75" x14ac:dyDescent="0.2">
      <c r="A342" s="52"/>
      <c r="B342" s="73"/>
      <c r="C342" s="73"/>
      <c r="D342" s="53"/>
      <c r="E342" s="73"/>
      <c r="F342" s="52"/>
      <c r="G342" s="52"/>
      <c r="H342" s="73"/>
      <c r="I342" s="52"/>
      <c r="J342" s="52"/>
      <c r="K342" s="52"/>
      <c r="L342" s="7"/>
      <c r="M342" s="42"/>
      <c r="N342" s="42"/>
      <c r="O342" s="42"/>
      <c r="P342" s="42"/>
      <c r="Q342" s="42"/>
      <c r="R342" s="42"/>
      <c r="S342" s="42"/>
      <c r="T342" s="42"/>
      <c r="U342" s="7"/>
      <c r="V342" s="55"/>
      <c r="W342" s="55"/>
      <c r="X342" s="7"/>
      <c r="Y342" s="20"/>
      <c r="AA342" s="80"/>
    </row>
    <row r="343" spans="1:34" s="5" customFormat="1" ht="12.75" x14ac:dyDescent="0.2">
      <c r="C343" s="56"/>
      <c r="D343" s="56"/>
      <c r="E343" s="56"/>
      <c r="F343" s="56"/>
      <c r="H343" s="56"/>
      <c r="I343" s="56"/>
      <c r="L343" s="7"/>
      <c r="M343" s="42"/>
      <c r="N343" s="42"/>
      <c r="O343" s="42"/>
      <c r="P343" s="42"/>
      <c r="Q343" s="42"/>
      <c r="R343" s="42"/>
      <c r="S343" s="42"/>
      <c r="T343" s="42"/>
      <c r="U343" s="7"/>
      <c r="V343" s="55"/>
      <c r="W343" s="55"/>
      <c r="X343" s="7"/>
    </row>
    <row r="344" spans="1:34" s="5" customFormat="1" ht="12.75" x14ac:dyDescent="0.2">
      <c r="B344" s="56"/>
      <c r="C344" s="93"/>
      <c r="D344" s="61"/>
      <c r="E344" s="94"/>
      <c r="F344" s="55"/>
      <c r="H344" s="94"/>
      <c r="I344" s="55"/>
      <c r="J344" s="62"/>
      <c r="K344" s="62"/>
      <c r="L344" s="7"/>
      <c r="M344" s="42"/>
      <c r="N344" s="42"/>
      <c r="O344" s="42"/>
      <c r="P344" s="42"/>
      <c r="Q344" s="42"/>
      <c r="R344" s="42"/>
      <c r="S344" s="42"/>
      <c r="T344" s="42"/>
      <c r="U344" s="7"/>
      <c r="V344" s="55"/>
      <c r="W344" s="55"/>
      <c r="X344" s="7"/>
    </row>
    <row r="345" spans="1:34" s="5" customFormat="1" ht="12.75" x14ac:dyDescent="0.2">
      <c r="B345" s="56"/>
      <c r="C345" s="93"/>
      <c r="D345" s="61"/>
      <c r="E345" s="94"/>
      <c r="F345" s="55"/>
      <c r="H345" s="94"/>
      <c r="I345" s="55"/>
      <c r="J345" s="62"/>
      <c r="K345" s="62"/>
      <c r="L345" s="7"/>
      <c r="M345" s="42"/>
      <c r="N345" s="42"/>
      <c r="O345" s="42"/>
      <c r="P345" s="42"/>
      <c r="Q345" s="42"/>
      <c r="R345" s="42"/>
      <c r="S345" s="42"/>
      <c r="T345" s="42"/>
      <c r="U345" s="7"/>
      <c r="V345" s="55"/>
      <c r="W345" s="55"/>
      <c r="X345" s="7"/>
    </row>
    <row r="346" spans="1:34" s="5" customFormat="1" ht="12.75" x14ac:dyDescent="0.2">
      <c r="B346" s="56"/>
      <c r="C346" s="93"/>
      <c r="D346" s="61"/>
      <c r="E346" s="94"/>
      <c r="F346" s="55"/>
      <c r="H346" s="94"/>
      <c r="I346" s="55"/>
      <c r="J346" s="62"/>
      <c r="K346" s="62"/>
      <c r="L346" s="7"/>
      <c r="M346" s="42"/>
      <c r="N346" s="42"/>
      <c r="O346" s="42"/>
      <c r="P346" s="42"/>
      <c r="Q346" s="42"/>
      <c r="R346" s="42"/>
      <c r="S346" s="42"/>
      <c r="T346" s="42"/>
      <c r="U346" s="7"/>
      <c r="V346" s="95"/>
      <c r="W346" s="55"/>
      <c r="X346" s="7"/>
    </row>
    <row r="347" spans="1:34" s="5" customFormat="1" ht="12.75" x14ac:dyDescent="0.2">
      <c r="B347" s="56"/>
      <c r="C347" s="93"/>
      <c r="D347" s="61"/>
      <c r="E347" s="94"/>
      <c r="F347" s="55"/>
      <c r="H347" s="94"/>
      <c r="I347" s="55"/>
      <c r="J347" s="62"/>
      <c r="K347" s="62"/>
      <c r="L347" s="7"/>
      <c r="M347" s="42"/>
      <c r="N347" s="42"/>
      <c r="O347" s="42"/>
      <c r="P347" s="42"/>
      <c r="Q347" s="42"/>
      <c r="R347" s="42"/>
      <c r="S347" s="42"/>
      <c r="T347" s="42"/>
      <c r="U347" s="7"/>
      <c r="X347" s="7"/>
    </row>
    <row r="348" spans="1:34" s="5" customFormat="1" ht="12.75" x14ac:dyDescent="0.2">
      <c r="A348" s="96"/>
      <c r="B348" s="20"/>
      <c r="C348" s="97"/>
      <c r="D348" s="96"/>
      <c r="E348" s="96"/>
      <c r="F348" s="96"/>
      <c r="G348" s="97"/>
      <c r="H348" s="96"/>
      <c r="I348" s="96"/>
      <c r="J348" s="96"/>
      <c r="K348" s="96"/>
      <c r="L348" s="7"/>
      <c r="M348" s="42"/>
      <c r="N348" s="42"/>
      <c r="O348" s="42"/>
      <c r="P348" s="42"/>
      <c r="Q348" s="42"/>
      <c r="R348" s="42"/>
      <c r="S348" s="42"/>
      <c r="T348" s="42"/>
      <c r="U348" s="7"/>
      <c r="V348" s="7"/>
      <c r="W348" s="7"/>
      <c r="X348" s="7"/>
    </row>
    <row r="349" spans="1:34" s="5" customFormat="1" ht="12.75" x14ac:dyDescent="0.2">
      <c r="A349" s="96"/>
      <c r="B349" s="20"/>
      <c r="C349" s="97"/>
      <c r="D349" s="96"/>
      <c r="E349" s="96"/>
      <c r="F349" s="96"/>
      <c r="G349" s="97"/>
      <c r="H349" s="96"/>
      <c r="I349" s="96"/>
      <c r="J349" s="96"/>
      <c r="K349" s="96"/>
      <c r="L349" s="7"/>
      <c r="M349" s="42"/>
      <c r="N349" s="42"/>
      <c r="O349" s="42"/>
      <c r="P349" s="42"/>
      <c r="Q349" s="42"/>
      <c r="R349" s="42"/>
      <c r="S349" s="42"/>
      <c r="T349" s="42"/>
      <c r="U349" s="7"/>
      <c r="V349" s="7"/>
      <c r="W349" s="7"/>
      <c r="X349" s="7"/>
    </row>
    <row r="350" spans="1:34" s="5" customFormat="1" ht="12.75" x14ac:dyDescent="0.2">
      <c r="A350" s="96"/>
      <c r="B350" s="20"/>
      <c r="C350" s="97"/>
      <c r="D350" s="96"/>
      <c r="E350" s="96"/>
      <c r="F350" s="96"/>
      <c r="G350" s="97"/>
      <c r="H350" s="96"/>
      <c r="I350" s="96"/>
      <c r="J350" s="96"/>
      <c r="K350" s="96"/>
      <c r="L350" s="7"/>
      <c r="M350" s="42"/>
      <c r="N350" s="42"/>
      <c r="O350" s="42"/>
      <c r="P350" s="42"/>
      <c r="Q350" s="42"/>
      <c r="R350" s="42"/>
      <c r="S350" s="42"/>
      <c r="T350" s="42"/>
      <c r="U350" s="7"/>
      <c r="V350" s="7"/>
      <c r="W350" s="7"/>
      <c r="X350" s="7"/>
    </row>
    <row r="351" spans="1:34" s="5" customFormat="1" ht="12.75" x14ac:dyDescent="0.2">
      <c r="A351" s="96"/>
      <c r="B351" s="20"/>
      <c r="C351" s="97"/>
      <c r="D351" s="96"/>
      <c r="E351" s="96"/>
      <c r="F351" s="96"/>
      <c r="G351" s="97"/>
      <c r="H351" s="96"/>
      <c r="I351" s="96"/>
      <c r="J351" s="96"/>
      <c r="K351" s="96"/>
      <c r="L351" s="7"/>
      <c r="M351" s="42"/>
      <c r="N351" s="42"/>
      <c r="O351" s="42"/>
      <c r="P351" s="42"/>
      <c r="Q351" s="42"/>
      <c r="R351" s="42"/>
      <c r="S351" s="42"/>
      <c r="T351" s="42"/>
      <c r="U351" s="7"/>
      <c r="V351" s="7"/>
      <c r="W351" s="7"/>
      <c r="X351" s="7"/>
    </row>
    <row r="352" spans="1:34" s="5" customFormat="1" ht="12.75" x14ac:dyDescent="0.2">
      <c r="A352" s="96"/>
      <c r="B352" s="20"/>
      <c r="C352" s="97"/>
      <c r="D352" s="96"/>
      <c r="E352" s="96"/>
      <c r="F352" s="96"/>
      <c r="G352" s="97"/>
      <c r="H352" s="96"/>
      <c r="I352" s="96"/>
      <c r="J352" s="96"/>
      <c r="K352" s="96"/>
      <c r="L352" s="7"/>
      <c r="M352" s="42"/>
      <c r="N352" s="42"/>
      <c r="O352" s="42"/>
      <c r="P352" s="42"/>
      <c r="Q352" s="42"/>
      <c r="R352" s="42"/>
      <c r="S352" s="42"/>
      <c r="T352" s="42"/>
      <c r="U352" s="7"/>
      <c r="V352" s="7"/>
      <c r="W352" s="7"/>
      <c r="X352" s="7"/>
    </row>
    <row r="353" spans="1:24" s="5" customFormat="1" ht="12.75" x14ac:dyDescent="0.2">
      <c r="A353" s="96"/>
      <c r="B353" s="20"/>
      <c r="C353" s="97"/>
      <c r="D353" s="96"/>
      <c r="E353" s="96"/>
      <c r="F353" s="96"/>
      <c r="G353" s="97"/>
      <c r="H353" s="96"/>
      <c r="I353" s="96"/>
      <c r="J353" s="96"/>
      <c r="K353" s="96"/>
      <c r="L353" s="7"/>
      <c r="M353" s="42"/>
      <c r="N353" s="42"/>
      <c r="O353" s="42"/>
      <c r="P353" s="42"/>
      <c r="Q353" s="42"/>
      <c r="R353" s="42"/>
      <c r="S353" s="42"/>
      <c r="T353" s="42"/>
      <c r="U353" s="7"/>
      <c r="V353" s="7"/>
      <c r="W353" s="7"/>
      <c r="X353" s="7"/>
    </row>
    <row r="354" spans="1:24" s="5" customFormat="1" ht="12.75" x14ac:dyDescent="0.2">
      <c r="A354" s="96"/>
      <c r="B354" s="20"/>
      <c r="C354" s="97"/>
      <c r="D354" s="96"/>
      <c r="E354" s="96"/>
      <c r="F354" s="96"/>
      <c r="G354" s="97"/>
      <c r="H354" s="96"/>
      <c r="I354" s="96"/>
      <c r="J354" s="96"/>
      <c r="K354" s="96"/>
      <c r="L354" s="7"/>
      <c r="M354" s="42"/>
      <c r="N354" s="42"/>
      <c r="O354" s="42"/>
      <c r="P354" s="42"/>
      <c r="Q354" s="42"/>
      <c r="R354" s="42"/>
      <c r="S354" s="42"/>
      <c r="T354" s="42"/>
      <c r="U354" s="7"/>
      <c r="V354" s="7"/>
      <c r="W354" s="7"/>
      <c r="X354" s="7"/>
    </row>
    <row r="355" spans="1:24" s="5" customFormat="1" ht="12.75" x14ac:dyDescent="0.2">
      <c r="A355" s="96"/>
      <c r="B355" s="20"/>
      <c r="C355" s="97"/>
      <c r="D355" s="96"/>
      <c r="E355" s="96"/>
      <c r="F355" s="96"/>
      <c r="G355" s="97"/>
      <c r="H355" s="96"/>
      <c r="I355" s="96"/>
      <c r="J355" s="96"/>
      <c r="K355" s="96"/>
      <c r="L355" s="7"/>
      <c r="M355" s="42"/>
      <c r="N355" s="42"/>
      <c r="O355" s="42"/>
      <c r="P355" s="42"/>
      <c r="Q355" s="42"/>
      <c r="R355" s="42"/>
      <c r="S355" s="42"/>
      <c r="T355" s="42"/>
      <c r="U355" s="7"/>
      <c r="V355" s="7"/>
      <c r="W355" s="7"/>
      <c r="X355" s="7"/>
    </row>
    <row r="356" spans="1:24" s="5" customFormat="1" ht="12.75" x14ac:dyDescent="0.2">
      <c r="A356" s="96"/>
      <c r="B356" s="20"/>
      <c r="C356" s="97"/>
      <c r="D356" s="96"/>
      <c r="E356" s="96"/>
      <c r="F356" s="96"/>
      <c r="G356" s="97"/>
      <c r="H356" s="96"/>
      <c r="I356" s="96"/>
      <c r="J356" s="96"/>
      <c r="K356" s="96"/>
      <c r="L356" s="7"/>
      <c r="M356" s="42"/>
      <c r="N356" s="42"/>
      <c r="O356" s="42"/>
      <c r="P356" s="42"/>
      <c r="Q356" s="42"/>
      <c r="R356" s="42"/>
      <c r="S356" s="42"/>
      <c r="T356" s="42"/>
      <c r="U356" s="7"/>
      <c r="V356" s="7"/>
      <c r="W356" s="7"/>
      <c r="X356" s="7"/>
    </row>
    <row r="357" spans="1:24" s="5" customFormat="1" ht="12.75" x14ac:dyDescent="0.2">
      <c r="A357" s="96"/>
      <c r="B357" s="20"/>
      <c r="C357" s="97"/>
      <c r="D357" s="96"/>
      <c r="E357" s="96"/>
      <c r="F357" s="96"/>
      <c r="G357" s="97"/>
      <c r="H357" s="96"/>
      <c r="I357" s="96"/>
      <c r="J357" s="96"/>
      <c r="K357" s="96"/>
      <c r="L357" s="7"/>
      <c r="M357" s="42"/>
      <c r="N357" s="42"/>
      <c r="O357" s="42"/>
      <c r="P357" s="42"/>
      <c r="Q357" s="42"/>
      <c r="R357" s="42"/>
      <c r="S357" s="42"/>
      <c r="T357" s="42"/>
      <c r="U357" s="7"/>
      <c r="V357" s="7"/>
      <c r="W357" s="7"/>
      <c r="X357" s="7"/>
    </row>
    <row r="358" spans="1:24" s="5" customFormat="1" ht="12.75" x14ac:dyDescent="0.2">
      <c r="A358" s="96"/>
      <c r="B358" s="20"/>
      <c r="C358" s="97"/>
      <c r="D358" s="96"/>
      <c r="E358" s="96"/>
      <c r="F358" s="96"/>
      <c r="G358" s="97"/>
      <c r="H358" s="96"/>
      <c r="I358" s="96"/>
      <c r="J358" s="96"/>
      <c r="K358" s="96"/>
      <c r="L358" s="7"/>
      <c r="M358" s="42"/>
      <c r="N358" s="42"/>
      <c r="O358" s="42"/>
      <c r="P358" s="42"/>
      <c r="Q358" s="42"/>
      <c r="R358" s="42"/>
      <c r="S358" s="42"/>
      <c r="T358" s="42"/>
      <c r="U358" s="7"/>
      <c r="V358" s="7"/>
      <c r="W358" s="7"/>
      <c r="X358" s="7"/>
    </row>
    <row r="359" spans="1:24" s="5" customFormat="1" ht="12.75" x14ac:dyDescent="0.2">
      <c r="A359" s="98" t="s">
        <v>86</v>
      </c>
      <c r="B359" s="98"/>
      <c r="C359" s="98"/>
      <c r="D359" s="98"/>
      <c r="E359" s="98"/>
      <c r="F359" s="98"/>
      <c r="G359" s="99"/>
      <c r="H359" s="99"/>
      <c r="I359" s="99"/>
      <c r="J359" s="99"/>
      <c r="K359" s="100"/>
      <c r="L359" s="7"/>
      <c r="M359" s="42"/>
      <c r="N359" s="42"/>
      <c r="O359" s="42"/>
      <c r="P359" s="42"/>
      <c r="Q359" s="42"/>
      <c r="R359" s="42"/>
      <c r="S359" s="42"/>
      <c r="T359" s="42"/>
      <c r="U359" s="7"/>
      <c r="V359" s="7"/>
      <c r="W359" s="7"/>
      <c r="X359" s="7"/>
    </row>
    <row r="360" spans="1:24" s="5" customFormat="1" ht="12.75" x14ac:dyDescent="0.2">
      <c r="A360" s="101"/>
      <c r="B360" s="101"/>
      <c r="C360" s="101"/>
      <c r="D360" s="102"/>
      <c r="E360" s="102"/>
      <c r="F360" s="103" t="s">
        <v>87</v>
      </c>
      <c r="G360" s="104" t="s">
        <v>88</v>
      </c>
      <c r="H360" s="105"/>
      <c r="I360" s="106"/>
      <c r="J360" s="106"/>
      <c r="K360" s="107"/>
      <c r="L360" s="7"/>
      <c r="M360" s="42"/>
      <c r="N360" s="42"/>
      <c r="O360" s="42"/>
      <c r="P360" s="42"/>
      <c r="Q360" s="42"/>
      <c r="R360" s="42"/>
      <c r="S360" s="42"/>
      <c r="T360" s="42"/>
      <c r="U360" s="7"/>
      <c r="V360" s="7"/>
      <c r="W360" s="7"/>
      <c r="X360" s="7"/>
    </row>
    <row r="361" spans="1:24" s="5" customFormat="1" ht="12.75" x14ac:dyDescent="0.2">
      <c r="M361" s="42"/>
      <c r="N361" s="42"/>
      <c r="O361" s="42"/>
      <c r="P361" s="42"/>
      <c r="Q361" s="42"/>
      <c r="R361" s="42"/>
      <c r="S361" s="42"/>
      <c r="T361" s="42"/>
    </row>
    <row r="362" spans="1:24" s="5" customFormat="1" ht="12.75" x14ac:dyDescent="0.2">
      <c r="M362" s="42"/>
      <c r="N362" s="42"/>
      <c r="O362" s="42"/>
      <c r="P362" s="42"/>
      <c r="Q362" s="42"/>
      <c r="R362" s="42"/>
      <c r="S362" s="42"/>
      <c r="T362" s="42"/>
    </row>
    <row r="363" spans="1:24" s="5" customFormat="1" ht="12.75" x14ac:dyDescent="0.2">
      <c r="M363" s="42"/>
      <c r="N363" s="42"/>
      <c r="O363" s="42"/>
      <c r="P363" s="42"/>
      <c r="Q363" s="42"/>
      <c r="R363" s="42"/>
      <c r="S363" s="42"/>
      <c r="T363" s="42"/>
    </row>
    <row r="364" spans="1:24" s="5" customFormat="1" ht="12.75" x14ac:dyDescent="0.2">
      <c r="M364" s="42"/>
      <c r="N364" s="42"/>
      <c r="O364" s="42"/>
      <c r="P364" s="42"/>
      <c r="Q364" s="42"/>
      <c r="R364" s="42"/>
      <c r="S364" s="42"/>
      <c r="T364" s="42"/>
    </row>
    <row r="365" spans="1:24" s="5" customFormat="1" ht="12.75" x14ac:dyDescent="0.2">
      <c r="M365" s="42"/>
      <c r="N365" s="42"/>
      <c r="O365" s="42"/>
      <c r="P365" s="42"/>
      <c r="Q365" s="42"/>
      <c r="R365" s="42"/>
      <c r="S365" s="42"/>
      <c r="T365" s="42"/>
    </row>
    <row r="366" spans="1:24" s="5" customFormat="1" ht="12.75" x14ac:dyDescent="0.2">
      <c r="M366" s="42"/>
      <c r="N366" s="42"/>
      <c r="O366" s="42"/>
      <c r="P366" s="42"/>
      <c r="Q366" s="42"/>
      <c r="R366" s="42"/>
      <c r="S366" s="42"/>
      <c r="T366" s="42"/>
    </row>
    <row r="367" spans="1:24" s="5" customFormat="1" ht="12.75" x14ac:dyDescent="0.2">
      <c r="M367" s="42"/>
      <c r="N367" s="42"/>
      <c r="O367" s="42"/>
      <c r="P367" s="42"/>
      <c r="Q367" s="42"/>
      <c r="R367" s="42"/>
      <c r="S367" s="42"/>
      <c r="T367" s="42"/>
    </row>
    <row r="368" spans="1:24"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row r="7474" spans="13:20" s="5" customFormat="1" ht="12.75" x14ac:dyDescent="0.2">
      <c r="M7474" s="42"/>
      <c r="N7474" s="42"/>
      <c r="O7474" s="42"/>
      <c r="P7474" s="42"/>
      <c r="Q7474" s="42"/>
      <c r="R7474" s="42"/>
      <c r="S7474" s="42"/>
      <c r="T7474" s="42"/>
    </row>
    <row r="7475" spans="13:20" s="5" customFormat="1" ht="12.75" x14ac:dyDescent="0.2">
      <c r="M7475" s="42"/>
      <c r="N7475" s="42"/>
      <c r="O7475" s="42"/>
      <c r="P7475" s="42"/>
      <c r="Q7475" s="42"/>
      <c r="R7475" s="42"/>
      <c r="S7475" s="42"/>
      <c r="T7475" s="42"/>
    </row>
    <row r="7476" spans="13:20" s="5" customFormat="1" ht="12.75" x14ac:dyDescent="0.2">
      <c r="M7476" s="42"/>
      <c r="N7476" s="42"/>
      <c r="O7476" s="42"/>
      <c r="P7476" s="42"/>
      <c r="Q7476" s="42"/>
      <c r="R7476" s="42"/>
      <c r="S7476" s="42"/>
      <c r="T7476" s="42"/>
    </row>
    <row r="7477" spans="13:20" s="5" customFormat="1" ht="12.75" x14ac:dyDescent="0.2">
      <c r="M7477" s="42"/>
      <c r="N7477" s="42"/>
      <c r="O7477" s="42"/>
      <c r="P7477" s="42"/>
      <c r="Q7477" s="42"/>
      <c r="R7477" s="42"/>
      <c r="S7477" s="42"/>
      <c r="T7477" s="42"/>
    </row>
    <row r="7478" spans="13:20" s="5" customFormat="1" ht="12.75" x14ac:dyDescent="0.2">
      <c r="M7478" s="42"/>
      <c r="N7478" s="42"/>
      <c r="O7478" s="42"/>
      <c r="P7478" s="42"/>
      <c r="Q7478" s="42"/>
      <c r="R7478" s="42"/>
      <c r="S7478" s="42"/>
      <c r="T7478" s="42"/>
    </row>
    <row r="7479" spans="13:20" s="5" customFormat="1" ht="12.75" x14ac:dyDescent="0.2">
      <c r="M7479" s="42"/>
      <c r="N7479" s="42"/>
      <c r="O7479" s="42"/>
      <c r="P7479" s="42"/>
      <c r="Q7479" s="42"/>
      <c r="R7479" s="42"/>
      <c r="S7479" s="42"/>
      <c r="T7479" s="42"/>
    </row>
    <row r="7480" spans="13:20" s="5" customFormat="1" ht="12.75" x14ac:dyDescent="0.2">
      <c r="M7480" s="42"/>
      <c r="N7480" s="42"/>
      <c r="O7480" s="42"/>
      <c r="P7480" s="42"/>
      <c r="Q7480" s="42"/>
      <c r="R7480" s="42"/>
      <c r="S7480" s="42"/>
      <c r="T7480" s="42"/>
    </row>
    <row r="7481" spans="13:20" s="5" customFormat="1" ht="12.75" x14ac:dyDescent="0.2">
      <c r="M7481" s="42"/>
      <c r="N7481" s="42"/>
      <c r="O7481" s="42"/>
      <c r="P7481" s="42"/>
      <c r="Q7481" s="42"/>
      <c r="R7481" s="42"/>
      <c r="S7481" s="42"/>
      <c r="T7481" s="42"/>
    </row>
    <row r="7482" spans="13:20" s="5" customFormat="1" ht="12.75" x14ac:dyDescent="0.2">
      <c r="M7482" s="42"/>
      <c r="N7482" s="42"/>
      <c r="O7482" s="42"/>
      <c r="P7482" s="42"/>
      <c r="Q7482" s="42"/>
      <c r="R7482" s="42"/>
      <c r="S7482" s="42"/>
      <c r="T7482" s="42"/>
    </row>
    <row r="7483" spans="13:20" s="5" customFormat="1" ht="12.75" x14ac:dyDescent="0.2">
      <c r="M7483" s="42"/>
      <c r="N7483" s="42"/>
      <c r="O7483" s="42"/>
      <c r="P7483" s="42"/>
      <c r="Q7483" s="42"/>
      <c r="R7483" s="42"/>
      <c r="S7483" s="42"/>
      <c r="T7483" s="42"/>
    </row>
    <row r="7484" spans="13:20" s="5" customFormat="1" ht="12.75" x14ac:dyDescent="0.2">
      <c r="M7484" s="42"/>
      <c r="N7484" s="42"/>
      <c r="O7484" s="42"/>
      <c r="P7484" s="42"/>
      <c r="Q7484" s="42"/>
      <c r="R7484" s="42"/>
      <c r="S7484" s="42"/>
      <c r="T7484" s="42"/>
    </row>
    <row r="7485" spans="13:20" s="5" customFormat="1" ht="12.75" x14ac:dyDescent="0.2">
      <c r="M7485" s="42"/>
      <c r="N7485" s="42"/>
      <c r="O7485" s="42"/>
      <c r="P7485" s="42"/>
      <c r="Q7485" s="42"/>
      <c r="R7485" s="42"/>
      <c r="S7485" s="42"/>
      <c r="T7485" s="42"/>
    </row>
    <row r="7486" spans="13:20" s="5" customFormat="1" ht="12.75" x14ac:dyDescent="0.2">
      <c r="M7486" s="42"/>
      <c r="N7486" s="42"/>
      <c r="O7486" s="42"/>
      <c r="P7486" s="42"/>
      <c r="Q7486" s="42"/>
      <c r="R7486" s="42"/>
      <c r="S7486" s="42"/>
      <c r="T7486" s="42"/>
    </row>
    <row r="7487" spans="13:20" s="5" customFormat="1" ht="12.75" x14ac:dyDescent="0.2">
      <c r="M7487" s="42"/>
      <c r="N7487" s="42"/>
      <c r="O7487" s="42"/>
      <c r="P7487" s="42"/>
      <c r="Q7487" s="42"/>
      <c r="R7487" s="42"/>
      <c r="S7487" s="42"/>
      <c r="T7487" s="42"/>
    </row>
    <row r="7488" spans="13:20" s="5" customFormat="1" ht="12.75" x14ac:dyDescent="0.2">
      <c r="M7488" s="42"/>
      <c r="N7488" s="42"/>
      <c r="O7488" s="42"/>
      <c r="P7488" s="42"/>
      <c r="Q7488" s="42"/>
      <c r="R7488" s="42"/>
      <c r="S7488" s="42"/>
      <c r="T7488" s="42"/>
    </row>
    <row r="7489" spans="13:20" s="5" customFormat="1" ht="12.75" x14ac:dyDescent="0.2">
      <c r="M7489" s="42"/>
      <c r="N7489" s="42"/>
      <c r="O7489" s="42"/>
      <c r="P7489" s="42"/>
      <c r="Q7489" s="42"/>
      <c r="R7489" s="42"/>
      <c r="S7489" s="42"/>
      <c r="T7489" s="42"/>
    </row>
    <row r="7490" spans="13:20" s="5" customFormat="1" ht="12.75" x14ac:dyDescent="0.2">
      <c r="M7490" s="42"/>
      <c r="N7490" s="42"/>
      <c r="O7490" s="42"/>
      <c r="P7490" s="42"/>
      <c r="Q7490" s="42"/>
      <c r="R7490" s="42"/>
      <c r="S7490" s="42"/>
      <c r="T7490" s="42"/>
    </row>
    <row r="7491" spans="13:20" s="5" customFormat="1" ht="12.75" x14ac:dyDescent="0.2">
      <c r="M7491" s="42"/>
      <c r="N7491" s="42"/>
      <c r="O7491" s="42"/>
      <c r="P7491" s="42"/>
      <c r="Q7491" s="42"/>
      <c r="R7491" s="42"/>
      <c r="S7491" s="42"/>
      <c r="T7491" s="42"/>
    </row>
    <row r="7492" spans="13:20" s="5" customFormat="1" ht="12.75" x14ac:dyDescent="0.2">
      <c r="M7492" s="42"/>
      <c r="N7492" s="42"/>
      <c r="O7492" s="42"/>
      <c r="P7492" s="42"/>
      <c r="Q7492" s="42"/>
      <c r="R7492" s="42"/>
      <c r="S7492" s="42"/>
      <c r="T7492" s="42"/>
    </row>
    <row r="7493" spans="13:20" s="5" customFormat="1" ht="12.75" x14ac:dyDescent="0.2">
      <c r="M7493" s="42"/>
      <c r="N7493" s="42"/>
      <c r="O7493" s="42"/>
      <c r="P7493" s="42"/>
      <c r="Q7493" s="42"/>
      <c r="R7493" s="42"/>
      <c r="S7493" s="42"/>
      <c r="T7493" s="42"/>
    </row>
    <row r="7494" spans="13:20" s="5" customFormat="1" ht="12.75" x14ac:dyDescent="0.2">
      <c r="M7494" s="42"/>
      <c r="N7494" s="42"/>
      <c r="O7494" s="42"/>
      <c r="P7494" s="42"/>
      <c r="Q7494" s="42"/>
      <c r="R7494" s="42"/>
      <c r="S7494" s="42"/>
      <c r="T7494" s="42"/>
    </row>
    <row r="7495" spans="13:20" s="5" customFormat="1" ht="12.75" x14ac:dyDescent="0.2">
      <c r="M7495" s="42"/>
      <c r="N7495" s="42"/>
      <c r="O7495" s="42"/>
      <c r="P7495" s="42"/>
      <c r="Q7495" s="42"/>
      <c r="R7495" s="42"/>
      <c r="S7495" s="42"/>
      <c r="T7495" s="42"/>
    </row>
    <row r="7496" spans="13:20" s="5" customFormat="1" ht="12.75" x14ac:dyDescent="0.2">
      <c r="M7496" s="42"/>
      <c r="N7496" s="42"/>
      <c r="O7496" s="42"/>
      <c r="P7496" s="42"/>
      <c r="Q7496" s="42"/>
      <c r="R7496" s="42"/>
      <c r="S7496" s="42"/>
      <c r="T7496" s="42"/>
    </row>
    <row r="7497" spans="13:20" s="5" customFormat="1" ht="12.75" x14ac:dyDescent="0.2">
      <c r="M7497" s="42"/>
      <c r="N7497" s="42"/>
      <c r="O7497" s="42"/>
      <c r="P7497" s="42"/>
      <c r="Q7497" s="42"/>
      <c r="R7497" s="42"/>
      <c r="S7497" s="42"/>
      <c r="T7497" s="42"/>
    </row>
    <row r="7498" spans="13:20" s="5" customFormat="1" ht="12.75" x14ac:dyDescent="0.2">
      <c r="M7498" s="42"/>
      <c r="N7498" s="42"/>
      <c r="O7498" s="42"/>
      <c r="P7498" s="42"/>
      <c r="Q7498" s="42"/>
      <c r="R7498" s="42"/>
      <c r="S7498" s="42"/>
      <c r="T7498" s="42"/>
    </row>
    <row r="7499" spans="13:20" s="5" customFormat="1" ht="12.75" x14ac:dyDescent="0.2">
      <c r="M7499" s="42"/>
      <c r="N7499" s="42"/>
      <c r="O7499" s="42"/>
      <c r="P7499" s="42"/>
      <c r="Q7499" s="42"/>
      <c r="R7499" s="42"/>
      <c r="S7499" s="42"/>
      <c r="T7499" s="42"/>
    </row>
    <row r="7500" spans="13:20" s="5" customFormat="1" ht="12.75" x14ac:dyDescent="0.2">
      <c r="M7500" s="42"/>
      <c r="N7500" s="42"/>
      <c r="O7500" s="42"/>
      <c r="P7500" s="42"/>
      <c r="Q7500" s="42"/>
      <c r="R7500" s="42"/>
      <c r="S7500" s="42"/>
      <c r="T7500" s="42"/>
    </row>
    <row r="7501" spans="13:20" s="5" customFormat="1" ht="12.75" x14ac:dyDescent="0.2">
      <c r="M7501" s="42"/>
      <c r="N7501" s="42"/>
      <c r="O7501" s="42"/>
      <c r="P7501" s="42"/>
      <c r="Q7501" s="42"/>
      <c r="R7501" s="42"/>
      <c r="S7501" s="42"/>
      <c r="T7501" s="42"/>
    </row>
    <row r="7502" spans="13:20" s="5" customFormat="1" ht="12.75" x14ac:dyDescent="0.2">
      <c r="M7502" s="42"/>
      <c r="N7502" s="42"/>
      <c r="O7502" s="42"/>
      <c r="P7502" s="42"/>
      <c r="Q7502" s="42"/>
      <c r="R7502" s="42"/>
      <c r="S7502" s="42"/>
      <c r="T7502" s="42"/>
    </row>
    <row r="7503" spans="13:20" s="5" customFormat="1" ht="12.75" x14ac:dyDescent="0.2">
      <c r="M7503" s="42"/>
      <c r="N7503" s="42"/>
      <c r="O7503" s="42"/>
      <c r="P7503" s="42"/>
      <c r="Q7503" s="42"/>
      <c r="R7503" s="42"/>
      <c r="S7503" s="42"/>
      <c r="T7503" s="42"/>
    </row>
    <row r="7504" spans="13:20" s="5" customFormat="1" ht="12.75" x14ac:dyDescent="0.2">
      <c r="M7504" s="42"/>
      <c r="N7504" s="42"/>
      <c r="O7504" s="42"/>
      <c r="P7504" s="42"/>
      <c r="Q7504" s="42"/>
      <c r="R7504" s="42"/>
      <c r="S7504" s="42"/>
      <c r="T7504" s="42"/>
    </row>
    <row r="7505" spans="13:20" s="5" customFormat="1" ht="12.75" x14ac:dyDescent="0.2">
      <c r="M7505" s="42"/>
      <c r="N7505" s="42"/>
      <c r="O7505" s="42"/>
      <c r="P7505" s="42"/>
      <c r="Q7505" s="42"/>
      <c r="R7505" s="42"/>
      <c r="S7505" s="42"/>
      <c r="T7505" s="42"/>
    </row>
    <row r="7506" spans="13:20" s="5" customFormat="1" ht="12.75" x14ac:dyDescent="0.2">
      <c r="M7506" s="42"/>
      <c r="N7506" s="42"/>
      <c r="O7506" s="42"/>
      <c r="P7506" s="42"/>
      <c r="Q7506" s="42"/>
      <c r="R7506" s="42"/>
      <c r="S7506" s="42"/>
      <c r="T7506" s="42"/>
    </row>
    <row r="7507" spans="13:20" s="5" customFormat="1" ht="12.75" x14ac:dyDescent="0.2">
      <c r="M7507" s="42"/>
      <c r="N7507" s="42"/>
      <c r="O7507" s="42"/>
      <c r="P7507" s="42"/>
      <c r="Q7507" s="42"/>
      <c r="R7507" s="42"/>
      <c r="S7507" s="42"/>
      <c r="T7507" s="42"/>
    </row>
    <row r="7508" spans="13:20" s="5" customFormat="1" ht="12.75" x14ac:dyDescent="0.2">
      <c r="M7508" s="42"/>
      <c r="N7508" s="42"/>
      <c r="O7508" s="42"/>
      <c r="P7508" s="42"/>
      <c r="Q7508" s="42"/>
      <c r="R7508" s="42"/>
      <c r="S7508" s="42"/>
      <c r="T7508" s="42"/>
    </row>
    <row r="7509" spans="13:20" s="5" customFormat="1" ht="12.75" x14ac:dyDescent="0.2">
      <c r="M7509" s="42"/>
      <c r="N7509" s="42"/>
      <c r="O7509" s="42"/>
      <c r="P7509" s="42"/>
      <c r="Q7509" s="42"/>
      <c r="R7509" s="42"/>
      <c r="S7509" s="42"/>
      <c r="T7509" s="42"/>
    </row>
    <row r="7510" spans="13:20" s="5" customFormat="1" ht="12.75" x14ac:dyDescent="0.2">
      <c r="M7510" s="42"/>
      <c r="N7510" s="42"/>
      <c r="O7510" s="42"/>
      <c r="P7510" s="42"/>
      <c r="Q7510" s="42"/>
      <c r="R7510" s="42"/>
      <c r="S7510" s="42"/>
      <c r="T7510" s="42"/>
    </row>
    <row r="7511" spans="13:20" s="5" customFormat="1" ht="12.75" x14ac:dyDescent="0.2">
      <c r="M7511" s="42"/>
      <c r="N7511" s="42"/>
      <c r="O7511" s="42"/>
      <c r="P7511" s="42"/>
      <c r="Q7511" s="42"/>
      <c r="R7511" s="42"/>
      <c r="S7511" s="42"/>
      <c r="T7511" s="42"/>
    </row>
    <row r="7512" spans="13:20" s="5" customFormat="1" ht="12.75" x14ac:dyDescent="0.2">
      <c r="M7512" s="42"/>
      <c r="N7512" s="42"/>
      <c r="O7512" s="42"/>
      <c r="P7512" s="42"/>
      <c r="Q7512" s="42"/>
      <c r="R7512" s="42"/>
      <c r="S7512" s="42"/>
      <c r="T7512" s="42"/>
    </row>
    <row r="7513" spans="13:20" s="5" customFormat="1" ht="12.75" x14ac:dyDescent="0.2">
      <c r="M7513" s="42"/>
      <c r="N7513" s="42"/>
      <c r="O7513" s="42"/>
      <c r="P7513" s="42"/>
      <c r="Q7513" s="42"/>
      <c r="R7513" s="42"/>
      <c r="S7513" s="42"/>
      <c r="T7513" s="42"/>
    </row>
    <row r="7514" spans="13:20" s="5" customFormat="1" ht="12.75" x14ac:dyDescent="0.2">
      <c r="M7514" s="42"/>
      <c r="N7514" s="42"/>
      <c r="O7514" s="42"/>
      <c r="P7514" s="42"/>
      <c r="Q7514" s="42"/>
      <c r="R7514" s="42"/>
      <c r="S7514" s="42"/>
      <c r="T7514" s="42"/>
    </row>
    <row r="7515" spans="13:20" s="5" customFormat="1" ht="12.75" x14ac:dyDescent="0.2">
      <c r="M7515" s="42"/>
      <c r="N7515" s="42"/>
      <c r="O7515" s="42"/>
      <c r="P7515" s="42"/>
      <c r="Q7515" s="42"/>
      <c r="R7515" s="42"/>
      <c r="S7515" s="42"/>
      <c r="T7515" s="42"/>
    </row>
    <row r="7516" spans="13:20" s="5" customFormat="1" ht="12.75" x14ac:dyDescent="0.2">
      <c r="M7516" s="42"/>
      <c r="N7516" s="42"/>
      <c r="O7516" s="42"/>
      <c r="P7516" s="42"/>
      <c r="Q7516" s="42"/>
      <c r="R7516" s="42"/>
      <c r="S7516" s="42"/>
      <c r="T7516" s="42"/>
    </row>
    <row r="7517" spans="13:20" s="5" customFormat="1" ht="12.75" x14ac:dyDescent="0.2">
      <c r="M7517" s="42"/>
      <c r="N7517" s="42"/>
      <c r="O7517" s="42"/>
      <c r="P7517" s="42"/>
      <c r="Q7517" s="42"/>
      <c r="R7517" s="42"/>
      <c r="S7517" s="42"/>
      <c r="T7517" s="42"/>
    </row>
    <row r="7518" spans="13:20" s="5" customFormat="1" ht="12.75" x14ac:dyDescent="0.2">
      <c r="M7518" s="42"/>
      <c r="N7518" s="42"/>
      <c r="O7518" s="42"/>
      <c r="P7518" s="42"/>
      <c r="Q7518" s="42"/>
      <c r="R7518" s="42"/>
      <c r="S7518" s="42"/>
      <c r="T7518" s="42"/>
    </row>
    <row r="7519" spans="13:20" s="5" customFormat="1" ht="12.75" x14ac:dyDescent="0.2">
      <c r="M7519" s="42"/>
      <c r="N7519" s="42"/>
      <c r="O7519" s="42"/>
      <c r="P7519" s="42"/>
      <c r="Q7519" s="42"/>
      <c r="R7519" s="42"/>
      <c r="S7519" s="42"/>
      <c r="T7519" s="42"/>
    </row>
    <row r="7520" spans="13:20" s="5" customFormat="1" ht="12.75" x14ac:dyDescent="0.2">
      <c r="M7520" s="42"/>
      <c r="N7520" s="42"/>
      <c r="O7520" s="42"/>
      <c r="P7520" s="42"/>
      <c r="Q7520" s="42"/>
      <c r="R7520" s="42"/>
      <c r="S7520" s="42"/>
      <c r="T7520" s="42"/>
    </row>
    <row r="7521" spans="13:20" s="5" customFormat="1" ht="12.75" x14ac:dyDescent="0.2">
      <c r="M7521" s="42"/>
      <c r="N7521" s="42"/>
      <c r="O7521" s="42"/>
      <c r="P7521" s="42"/>
      <c r="Q7521" s="42"/>
      <c r="R7521" s="42"/>
      <c r="S7521" s="42"/>
      <c r="T7521" s="42"/>
    </row>
    <row r="7522" spans="13:20" s="5" customFormat="1" ht="12.75" x14ac:dyDescent="0.2">
      <c r="M7522" s="42"/>
      <c r="N7522" s="42"/>
      <c r="O7522" s="42"/>
      <c r="P7522" s="42"/>
      <c r="Q7522" s="42"/>
      <c r="R7522" s="42"/>
      <c r="S7522" s="42"/>
      <c r="T7522" s="42"/>
    </row>
    <row r="7523" spans="13:20" s="5" customFormat="1" ht="12.75" x14ac:dyDescent="0.2">
      <c r="M7523" s="42"/>
      <c r="N7523" s="42"/>
      <c r="O7523" s="42"/>
      <c r="P7523" s="42"/>
      <c r="Q7523" s="42"/>
      <c r="R7523" s="42"/>
      <c r="S7523" s="42"/>
      <c r="T7523" s="42"/>
    </row>
    <row r="7524" spans="13:20" s="5" customFormat="1" ht="12.75" x14ac:dyDescent="0.2">
      <c r="M7524" s="42"/>
      <c r="N7524" s="42"/>
      <c r="O7524" s="42"/>
      <c r="P7524" s="42"/>
      <c r="Q7524" s="42"/>
      <c r="R7524" s="42"/>
      <c r="S7524" s="42"/>
      <c r="T7524" s="42"/>
    </row>
    <row r="7525" spans="13:20" s="5" customFormat="1" ht="12.75" x14ac:dyDescent="0.2">
      <c r="M7525" s="42"/>
      <c r="N7525" s="42"/>
      <c r="O7525" s="42"/>
      <c r="P7525" s="42"/>
      <c r="Q7525" s="42"/>
      <c r="R7525" s="42"/>
      <c r="S7525" s="42"/>
      <c r="T7525" s="42"/>
    </row>
    <row r="7526" spans="13:20" s="5" customFormat="1" ht="12.75" x14ac:dyDescent="0.2">
      <c r="M7526" s="42"/>
      <c r="N7526" s="42"/>
      <c r="O7526" s="42"/>
      <c r="P7526" s="42"/>
      <c r="Q7526" s="42"/>
      <c r="R7526" s="42"/>
      <c r="S7526" s="42"/>
      <c r="T7526" s="42"/>
    </row>
    <row r="7527" spans="13:20" s="5" customFormat="1" ht="12.75" x14ac:dyDescent="0.2">
      <c r="M7527" s="42"/>
      <c r="N7527" s="42"/>
      <c r="O7527" s="42"/>
      <c r="P7527" s="42"/>
      <c r="Q7527" s="42"/>
      <c r="R7527" s="42"/>
      <c r="S7527" s="42"/>
      <c r="T7527" s="42"/>
    </row>
    <row r="7528" spans="13:20" s="5" customFormat="1" ht="12.75" x14ac:dyDescent="0.2">
      <c r="M7528" s="42"/>
      <c r="N7528" s="42"/>
      <c r="O7528" s="42"/>
      <c r="P7528" s="42"/>
      <c r="Q7528" s="42"/>
      <c r="R7528" s="42"/>
      <c r="S7528" s="42"/>
      <c r="T7528" s="42"/>
    </row>
    <row r="7529" spans="13:20" s="5" customFormat="1" ht="12.75" x14ac:dyDescent="0.2">
      <c r="M7529" s="42"/>
      <c r="N7529" s="42"/>
      <c r="O7529" s="42"/>
      <c r="P7529" s="42"/>
      <c r="Q7529" s="42"/>
      <c r="R7529" s="42"/>
      <c r="S7529" s="42"/>
      <c r="T7529" s="42"/>
    </row>
    <row r="7530" spans="13:20" s="5" customFormat="1" ht="12.75" x14ac:dyDescent="0.2">
      <c r="M7530" s="42"/>
      <c r="N7530" s="42"/>
      <c r="O7530" s="42"/>
      <c r="P7530" s="42"/>
      <c r="Q7530" s="42"/>
      <c r="R7530" s="42"/>
      <c r="S7530" s="42"/>
      <c r="T7530" s="42"/>
    </row>
    <row r="7531" spans="13:20" s="5" customFormat="1" ht="12.75" x14ac:dyDescent="0.2">
      <c r="M7531" s="42"/>
      <c r="N7531" s="42"/>
      <c r="O7531" s="42"/>
      <c r="P7531" s="42"/>
      <c r="Q7531" s="42"/>
      <c r="R7531" s="42"/>
      <c r="S7531" s="42"/>
      <c r="T7531" s="42"/>
    </row>
    <row r="7532" spans="13:20" s="5" customFormat="1" ht="12.75" x14ac:dyDescent="0.2">
      <c r="M7532" s="42"/>
      <c r="N7532" s="42"/>
      <c r="O7532" s="42"/>
      <c r="P7532" s="42"/>
      <c r="Q7532" s="42"/>
      <c r="R7532" s="42"/>
      <c r="S7532" s="42"/>
      <c r="T7532" s="42"/>
    </row>
    <row r="7533" spans="13:20" s="5" customFormat="1" ht="12.75" x14ac:dyDescent="0.2">
      <c r="M7533" s="42"/>
      <c r="N7533" s="42"/>
      <c r="O7533" s="42"/>
      <c r="P7533" s="42"/>
      <c r="Q7533" s="42"/>
      <c r="R7533" s="42"/>
      <c r="S7533" s="42"/>
      <c r="T7533" s="42"/>
    </row>
    <row r="7534" spans="13:20" s="5" customFormat="1" ht="12.75" x14ac:dyDescent="0.2">
      <c r="M7534" s="42"/>
      <c r="N7534" s="42"/>
      <c r="O7534" s="42"/>
      <c r="P7534" s="42"/>
      <c r="Q7534" s="42"/>
      <c r="R7534" s="42"/>
      <c r="S7534" s="42"/>
      <c r="T7534" s="42"/>
    </row>
    <row r="7535" spans="13:20" s="5" customFormat="1" ht="12.75" x14ac:dyDescent="0.2">
      <c r="M7535" s="42"/>
      <c r="N7535" s="42"/>
      <c r="O7535" s="42"/>
      <c r="P7535" s="42"/>
      <c r="Q7535" s="42"/>
      <c r="R7535" s="42"/>
      <c r="S7535" s="42"/>
      <c r="T7535" s="42"/>
    </row>
    <row r="7536" spans="13:20" s="5" customFormat="1" ht="12.75" x14ac:dyDescent="0.2">
      <c r="M7536" s="42"/>
      <c r="N7536" s="42"/>
      <c r="O7536" s="42"/>
      <c r="P7536" s="42"/>
      <c r="Q7536" s="42"/>
      <c r="R7536" s="42"/>
      <c r="S7536" s="42"/>
      <c r="T7536" s="42"/>
    </row>
    <row r="7537" spans="13:20" s="5" customFormat="1" ht="12.75" x14ac:dyDescent="0.2">
      <c r="M7537" s="42"/>
      <c r="N7537" s="42"/>
      <c r="O7537" s="42"/>
      <c r="P7537" s="42"/>
      <c r="Q7537" s="42"/>
      <c r="R7537" s="42"/>
      <c r="S7537" s="42"/>
      <c r="T7537" s="42"/>
    </row>
    <row r="7538" spans="13:20" s="5" customFormat="1" ht="12.75" x14ac:dyDescent="0.2">
      <c r="M7538" s="42"/>
      <c r="N7538" s="42"/>
      <c r="O7538" s="42"/>
      <c r="P7538" s="42"/>
      <c r="Q7538" s="42"/>
      <c r="R7538" s="42"/>
      <c r="S7538" s="42"/>
      <c r="T7538" s="42"/>
    </row>
    <row r="7539" spans="13:20" s="5" customFormat="1" ht="12.75" x14ac:dyDescent="0.2">
      <c r="M7539" s="42"/>
      <c r="N7539" s="42"/>
      <c r="O7539" s="42"/>
      <c r="P7539" s="42"/>
      <c r="Q7539" s="42"/>
      <c r="R7539" s="42"/>
      <c r="S7539" s="42"/>
      <c r="T7539" s="42"/>
    </row>
    <row r="7540" spans="13:20" s="5" customFormat="1" ht="12.75" x14ac:dyDescent="0.2">
      <c r="M7540" s="42"/>
      <c r="N7540" s="42"/>
      <c r="O7540" s="42"/>
      <c r="P7540" s="42"/>
      <c r="Q7540" s="42"/>
      <c r="R7540" s="42"/>
      <c r="S7540" s="42"/>
      <c r="T7540" s="42"/>
    </row>
    <row r="7541" spans="13:20" s="5" customFormat="1" ht="12.75" x14ac:dyDescent="0.2">
      <c r="M7541" s="42"/>
      <c r="N7541" s="42"/>
      <c r="O7541" s="42"/>
      <c r="P7541" s="42"/>
      <c r="Q7541" s="42"/>
      <c r="R7541" s="42"/>
      <c r="S7541" s="42"/>
      <c r="T7541" s="42"/>
    </row>
    <row r="7542" spans="13:20" s="5" customFormat="1" ht="12.75" x14ac:dyDescent="0.2">
      <c r="M7542" s="42"/>
      <c r="N7542" s="42"/>
      <c r="O7542" s="42"/>
      <c r="P7542" s="42"/>
      <c r="Q7542" s="42"/>
      <c r="R7542" s="42"/>
      <c r="S7542" s="42"/>
      <c r="T7542" s="42"/>
    </row>
    <row r="7543" spans="13:20" s="5" customFormat="1" ht="12.75" x14ac:dyDescent="0.2">
      <c r="M7543" s="42"/>
      <c r="N7543" s="42"/>
      <c r="O7543" s="42"/>
      <c r="P7543" s="42"/>
      <c r="Q7543" s="42"/>
      <c r="R7543" s="42"/>
      <c r="S7543" s="42"/>
      <c r="T7543" s="42"/>
    </row>
    <row r="7544" spans="13:20" s="5" customFormat="1" ht="12.75" x14ac:dyDescent="0.2">
      <c r="M7544" s="42"/>
      <c r="N7544" s="42"/>
      <c r="O7544" s="42"/>
      <c r="P7544" s="42"/>
      <c r="Q7544" s="42"/>
      <c r="R7544" s="42"/>
      <c r="S7544" s="42"/>
      <c r="T7544" s="42"/>
    </row>
    <row r="7545" spans="13:20" s="5" customFormat="1" ht="12.75" x14ac:dyDescent="0.2">
      <c r="M7545" s="42"/>
      <c r="N7545" s="42"/>
      <c r="O7545" s="42"/>
      <c r="P7545" s="42"/>
      <c r="Q7545" s="42"/>
      <c r="R7545" s="42"/>
      <c r="S7545" s="42"/>
      <c r="T7545" s="42"/>
    </row>
    <row r="7546" spans="13:20" s="5" customFormat="1" ht="12.75" x14ac:dyDescent="0.2">
      <c r="M7546" s="42"/>
      <c r="N7546" s="42"/>
      <c r="O7546" s="42"/>
      <c r="P7546" s="42"/>
      <c r="Q7546" s="42"/>
      <c r="R7546" s="42"/>
      <c r="S7546" s="42"/>
      <c r="T7546" s="42"/>
    </row>
    <row r="7547" spans="13:20" s="5" customFormat="1" ht="12.75" x14ac:dyDescent="0.2">
      <c r="M7547" s="42"/>
      <c r="N7547" s="42"/>
      <c r="O7547" s="42"/>
      <c r="P7547" s="42"/>
      <c r="Q7547" s="42"/>
      <c r="R7547" s="42"/>
      <c r="S7547" s="42"/>
      <c r="T7547" s="42"/>
    </row>
    <row r="7548" spans="13:20" s="5" customFormat="1" ht="12.75" x14ac:dyDescent="0.2">
      <c r="M7548" s="42"/>
      <c r="N7548" s="42"/>
      <c r="O7548" s="42"/>
      <c r="P7548" s="42"/>
      <c r="Q7548" s="42"/>
      <c r="R7548" s="42"/>
      <c r="S7548" s="42"/>
      <c r="T7548" s="42"/>
    </row>
    <row r="7549" spans="13:20" s="5" customFormat="1" ht="12.75" x14ac:dyDescent="0.2">
      <c r="M7549" s="42"/>
      <c r="N7549" s="42"/>
      <c r="O7549" s="42"/>
      <c r="P7549" s="42"/>
      <c r="Q7549" s="42"/>
      <c r="R7549" s="42"/>
      <c r="S7549" s="42"/>
      <c r="T7549" s="42"/>
    </row>
    <row r="7550" spans="13:20" s="5" customFormat="1" ht="12.75" x14ac:dyDescent="0.2">
      <c r="M7550" s="42"/>
      <c r="N7550" s="42"/>
      <c r="O7550" s="42"/>
      <c r="P7550" s="42"/>
      <c r="Q7550" s="42"/>
      <c r="R7550" s="42"/>
      <c r="S7550" s="42"/>
      <c r="T7550" s="42"/>
    </row>
    <row r="7551" spans="13:20" s="5" customFormat="1" ht="12.75" x14ac:dyDescent="0.2">
      <c r="M7551" s="42"/>
      <c r="N7551" s="42"/>
      <c r="O7551" s="42"/>
      <c r="P7551" s="42"/>
      <c r="Q7551" s="42"/>
      <c r="R7551" s="42"/>
      <c r="S7551" s="42"/>
      <c r="T7551" s="42"/>
    </row>
    <row r="7552" spans="13:20" s="5" customFormat="1" ht="12.75" x14ac:dyDescent="0.2">
      <c r="M7552" s="42"/>
      <c r="N7552" s="42"/>
      <c r="O7552" s="42"/>
      <c r="P7552" s="42"/>
      <c r="Q7552" s="42"/>
      <c r="R7552" s="42"/>
      <c r="S7552" s="42"/>
      <c r="T7552" s="42"/>
    </row>
    <row r="7553" spans="13:20" s="5" customFormat="1" ht="12.75" x14ac:dyDescent="0.2">
      <c r="M7553" s="42"/>
      <c r="N7553" s="42"/>
      <c r="O7553" s="42"/>
      <c r="P7553" s="42"/>
      <c r="Q7553" s="42"/>
      <c r="R7553" s="42"/>
      <c r="S7553" s="42"/>
      <c r="T7553" s="42"/>
    </row>
    <row r="7554" spans="13:20" s="5" customFormat="1" ht="12.75" x14ac:dyDescent="0.2">
      <c r="M7554" s="42"/>
      <c r="N7554" s="42"/>
      <c r="O7554" s="42"/>
      <c r="P7554" s="42"/>
      <c r="Q7554" s="42"/>
      <c r="R7554" s="42"/>
      <c r="S7554" s="42"/>
      <c r="T7554" s="42"/>
    </row>
    <row r="7555" spans="13:20" s="5" customFormat="1" ht="12.75" x14ac:dyDescent="0.2">
      <c r="M7555" s="42"/>
      <c r="N7555" s="42"/>
      <c r="O7555" s="42"/>
      <c r="P7555" s="42"/>
      <c r="Q7555" s="42"/>
      <c r="R7555" s="42"/>
      <c r="S7555" s="42"/>
      <c r="T7555" s="42"/>
    </row>
    <row r="7556" spans="13:20" s="5" customFormat="1" ht="12.75" x14ac:dyDescent="0.2">
      <c r="M7556" s="42"/>
      <c r="N7556" s="42"/>
      <c r="O7556" s="42"/>
      <c r="P7556" s="42"/>
      <c r="Q7556" s="42"/>
      <c r="R7556" s="42"/>
      <c r="S7556" s="42"/>
      <c r="T7556" s="42"/>
    </row>
    <row r="7557" spans="13:20" s="5" customFormat="1" ht="12.75" x14ac:dyDescent="0.2">
      <c r="M7557" s="42"/>
      <c r="N7557" s="42"/>
      <c r="O7557" s="42"/>
      <c r="P7557" s="42"/>
      <c r="Q7557" s="42"/>
      <c r="R7557" s="42"/>
      <c r="S7557" s="42"/>
      <c r="T7557" s="42"/>
    </row>
    <row r="7558" spans="13:20" s="5" customFormat="1" ht="12.75" x14ac:dyDescent="0.2">
      <c r="M7558" s="42"/>
      <c r="N7558" s="42"/>
      <c r="O7558" s="42"/>
      <c r="P7558" s="42"/>
      <c r="Q7558" s="42"/>
      <c r="R7558" s="42"/>
      <c r="S7558" s="42"/>
      <c r="T7558" s="42"/>
    </row>
    <row r="7559" spans="13:20" s="5" customFormat="1" ht="12.75" x14ac:dyDescent="0.2">
      <c r="M7559" s="42"/>
      <c r="N7559" s="42"/>
      <c r="O7559" s="42"/>
      <c r="P7559" s="42"/>
      <c r="Q7559" s="42"/>
      <c r="R7559" s="42"/>
      <c r="S7559" s="42"/>
      <c r="T7559" s="42"/>
    </row>
    <row r="7560" spans="13:20" s="5" customFormat="1" ht="12.75" x14ac:dyDescent="0.2">
      <c r="M7560" s="42"/>
      <c r="N7560" s="42"/>
      <c r="O7560" s="42"/>
      <c r="P7560" s="42"/>
      <c r="Q7560" s="42"/>
      <c r="R7560" s="42"/>
      <c r="S7560" s="42"/>
      <c r="T7560" s="42"/>
    </row>
    <row r="7561" spans="13:20" s="5" customFormat="1" ht="12.75" x14ac:dyDescent="0.2">
      <c r="M7561" s="42"/>
      <c r="N7561" s="42"/>
      <c r="O7561" s="42"/>
      <c r="P7561" s="42"/>
      <c r="Q7561" s="42"/>
      <c r="R7561" s="42"/>
      <c r="S7561" s="42"/>
      <c r="T7561" s="42"/>
    </row>
    <row r="7562" spans="13:20" s="5" customFormat="1" ht="12.75" x14ac:dyDescent="0.2">
      <c r="M7562" s="42"/>
      <c r="N7562" s="42"/>
      <c r="O7562" s="42"/>
      <c r="P7562" s="42"/>
      <c r="Q7562" s="42"/>
      <c r="R7562" s="42"/>
      <c r="S7562" s="42"/>
      <c r="T7562" s="42"/>
    </row>
    <row r="7563" spans="13:20" s="5" customFormat="1" ht="12.75" x14ac:dyDescent="0.2">
      <c r="M7563" s="42"/>
      <c r="N7563" s="42"/>
      <c r="O7563" s="42"/>
      <c r="P7563" s="42"/>
      <c r="Q7563" s="42"/>
      <c r="R7563" s="42"/>
      <c r="S7563" s="42"/>
      <c r="T7563" s="42"/>
    </row>
    <row r="7564" spans="13:20" s="5" customFormat="1" ht="12.75" x14ac:dyDescent="0.2">
      <c r="M7564" s="42"/>
      <c r="N7564" s="42"/>
      <c r="O7564" s="42"/>
      <c r="P7564" s="42"/>
      <c r="Q7564" s="42"/>
      <c r="R7564" s="42"/>
      <c r="S7564" s="42"/>
      <c r="T7564" s="42"/>
    </row>
    <row r="7565" spans="13:20" s="5" customFormat="1" ht="12.75" x14ac:dyDescent="0.2">
      <c r="M7565" s="42"/>
      <c r="N7565" s="42"/>
      <c r="O7565" s="42"/>
      <c r="P7565" s="42"/>
      <c r="Q7565" s="42"/>
      <c r="R7565" s="42"/>
      <c r="S7565" s="42"/>
      <c r="T7565" s="42"/>
    </row>
    <row r="7566" spans="13:20" s="5" customFormat="1" ht="12.75" x14ac:dyDescent="0.2">
      <c r="M7566" s="42"/>
      <c r="N7566" s="42"/>
      <c r="O7566" s="42"/>
      <c r="P7566" s="42"/>
      <c r="Q7566" s="42"/>
      <c r="R7566" s="42"/>
      <c r="S7566" s="42"/>
      <c r="T7566" s="42"/>
    </row>
    <row r="7567" spans="13:20" s="5" customFormat="1" ht="12.75" x14ac:dyDescent="0.2">
      <c r="M7567" s="42"/>
      <c r="N7567" s="42"/>
      <c r="O7567" s="42"/>
      <c r="P7567" s="42"/>
      <c r="Q7567" s="42"/>
      <c r="R7567" s="42"/>
      <c r="S7567" s="42"/>
      <c r="T7567" s="42"/>
    </row>
    <row r="7568" spans="13:20" s="5" customFormat="1" ht="12.75" x14ac:dyDescent="0.2">
      <c r="M7568" s="42"/>
      <c r="N7568" s="42"/>
      <c r="O7568" s="42"/>
      <c r="P7568" s="42"/>
      <c r="Q7568" s="42"/>
      <c r="R7568" s="42"/>
      <c r="S7568" s="42"/>
      <c r="T7568" s="42"/>
    </row>
    <row r="7569" spans="13:20" s="5" customFormat="1" ht="12.75" x14ac:dyDescent="0.2">
      <c r="M7569" s="42"/>
      <c r="N7569" s="42"/>
      <c r="O7569" s="42"/>
      <c r="P7569" s="42"/>
      <c r="Q7569" s="42"/>
      <c r="R7569" s="42"/>
      <c r="S7569" s="42"/>
      <c r="T7569" s="42"/>
    </row>
    <row r="7570" spans="13:20" s="5" customFormat="1" ht="12.75" x14ac:dyDescent="0.2">
      <c r="M7570" s="42"/>
      <c r="N7570" s="42"/>
      <c r="O7570" s="42"/>
      <c r="P7570" s="42"/>
      <c r="Q7570" s="42"/>
      <c r="R7570" s="42"/>
      <c r="S7570" s="42"/>
      <c r="T7570" s="42"/>
    </row>
    <row r="7571" spans="13:20" s="5" customFormat="1" ht="12.75" x14ac:dyDescent="0.2">
      <c r="M7571" s="42"/>
      <c r="N7571" s="42"/>
      <c r="O7571" s="42"/>
      <c r="P7571" s="42"/>
      <c r="Q7571" s="42"/>
      <c r="R7571" s="42"/>
      <c r="S7571" s="42"/>
      <c r="T7571" s="42"/>
    </row>
    <row r="7572" spans="13:20" s="5" customFormat="1" ht="12.75" x14ac:dyDescent="0.2">
      <c r="M7572" s="42"/>
      <c r="N7572" s="42"/>
      <c r="O7572" s="42"/>
      <c r="P7572" s="42"/>
      <c r="Q7572" s="42"/>
      <c r="R7572" s="42"/>
      <c r="S7572" s="42"/>
      <c r="T7572" s="42"/>
    </row>
    <row r="7573" spans="13:20" s="5" customFormat="1" ht="12.75" x14ac:dyDescent="0.2">
      <c r="M7573" s="42"/>
      <c r="N7573" s="42"/>
      <c r="O7573" s="42"/>
      <c r="P7573" s="42"/>
      <c r="Q7573" s="42"/>
      <c r="R7573" s="42"/>
      <c r="S7573" s="42"/>
      <c r="T7573" s="42"/>
    </row>
    <row r="7574" spans="13:20" s="5" customFormat="1" ht="12.75" x14ac:dyDescent="0.2">
      <c r="M7574" s="42"/>
      <c r="N7574" s="42"/>
      <c r="O7574" s="42"/>
      <c r="P7574" s="42"/>
      <c r="Q7574" s="42"/>
      <c r="R7574" s="42"/>
      <c r="S7574" s="42"/>
      <c r="T7574" s="42"/>
    </row>
    <row r="7575" spans="13:20" s="5" customFormat="1" ht="12.75" x14ac:dyDescent="0.2">
      <c r="M7575" s="42"/>
      <c r="N7575" s="42"/>
      <c r="O7575" s="42"/>
      <c r="P7575" s="42"/>
      <c r="Q7575" s="42"/>
      <c r="R7575" s="42"/>
      <c r="S7575" s="42"/>
      <c r="T7575" s="42"/>
    </row>
    <row r="7576" spans="13:20" s="5" customFormat="1" ht="12.75" x14ac:dyDescent="0.2">
      <c r="M7576" s="42"/>
      <c r="N7576" s="42"/>
      <c r="O7576" s="42"/>
      <c r="P7576" s="42"/>
      <c r="Q7576" s="42"/>
      <c r="R7576" s="42"/>
      <c r="S7576" s="42"/>
      <c r="T7576" s="42"/>
    </row>
    <row r="7577" spans="13:20" s="5" customFormat="1" ht="12.75" x14ac:dyDescent="0.2">
      <c r="M7577" s="42"/>
      <c r="N7577" s="42"/>
      <c r="O7577" s="42"/>
      <c r="P7577" s="42"/>
      <c r="Q7577" s="42"/>
      <c r="R7577" s="42"/>
      <c r="S7577" s="42"/>
      <c r="T7577" s="42"/>
    </row>
    <row r="7578" spans="13:20" s="5" customFormat="1" ht="12.75" x14ac:dyDescent="0.2">
      <c r="M7578" s="42"/>
      <c r="N7578" s="42"/>
      <c r="O7578" s="42"/>
      <c r="P7578" s="42"/>
      <c r="Q7578" s="42"/>
      <c r="R7578" s="42"/>
      <c r="S7578" s="42"/>
      <c r="T7578" s="42"/>
    </row>
    <row r="7579" spans="13:20" s="5" customFormat="1" ht="12.75" x14ac:dyDescent="0.2">
      <c r="M7579" s="42"/>
      <c r="N7579" s="42"/>
      <c r="O7579" s="42"/>
      <c r="P7579" s="42"/>
      <c r="Q7579" s="42"/>
      <c r="R7579" s="42"/>
      <c r="S7579" s="42"/>
      <c r="T7579" s="42"/>
    </row>
    <row r="7580" spans="13:20" s="5" customFormat="1" ht="12.75" x14ac:dyDescent="0.2">
      <c r="M7580" s="42"/>
      <c r="N7580" s="42"/>
      <c r="O7580" s="42"/>
      <c r="P7580" s="42"/>
      <c r="Q7580" s="42"/>
      <c r="R7580" s="42"/>
      <c r="S7580" s="42"/>
      <c r="T7580" s="42"/>
    </row>
    <row r="7581" spans="13:20" s="5" customFormat="1" ht="12.75" x14ac:dyDescent="0.2">
      <c r="M7581" s="42"/>
      <c r="N7581" s="42"/>
      <c r="O7581" s="42"/>
      <c r="P7581" s="42"/>
      <c r="Q7581" s="42"/>
      <c r="R7581" s="42"/>
      <c r="S7581" s="42"/>
      <c r="T7581" s="42"/>
    </row>
    <row r="7582" spans="13:20" s="5" customFormat="1" ht="12.75" x14ac:dyDescent="0.2">
      <c r="M7582" s="42"/>
      <c r="N7582" s="42"/>
      <c r="O7582" s="42"/>
      <c r="P7582" s="42"/>
      <c r="Q7582" s="42"/>
      <c r="R7582" s="42"/>
      <c r="S7582" s="42"/>
      <c r="T7582" s="42"/>
    </row>
    <row r="7583" spans="13:20" s="5" customFormat="1" ht="12.75" x14ac:dyDescent="0.2">
      <c r="M7583" s="42"/>
      <c r="N7583" s="42"/>
      <c r="O7583" s="42"/>
      <c r="P7583" s="42"/>
      <c r="Q7583" s="42"/>
      <c r="R7583" s="42"/>
      <c r="S7583" s="42"/>
      <c r="T7583" s="42"/>
    </row>
    <row r="7584" spans="13:20" s="5" customFormat="1" ht="12.75" x14ac:dyDescent="0.2">
      <c r="M7584" s="42"/>
      <c r="N7584" s="42"/>
      <c r="O7584" s="42"/>
      <c r="P7584" s="42"/>
      <c r="Q7584" s="42"/>
      <c r="R7584" s="42"/>
      <c r="S7584" s="42"/>
      <c r="T7584" s="42"/>
    </row>
    <row r="7585" spans="13:20" s="5" customFormat="1" ht="12.75" x14ac:dyDescent="0.2">
      <c r="M7585" s="42"/>
      <c r="N7585" s="42"/>
      <c r="O7585" s="42"/>
      <c r="P7585" s="42"/>
      <c r="Q7585" s="42"/>
      <c r="R7585" s="42"/>
      <c r="S7585" s="42"/>
      <c r="T7585" s="42"/>
    </row>
    <row r="7586" spans="13:20" s="5" customFormat="1" ht="12.75" x14ac:dyDescent="0.2">
      <c r="M7586" s="42"/>
      <c r="N7586" s="42"/>
      <c r="O7586" s="42"/>
      <c r="P7586" s="42"/>
      <c r="Q7586" s="42"/>
      <c r="R7586" s="42"/>
      <c r="S7586" s="42"/>
      <c r="T7586" s="42"/>
    </row>
    <row r="7587" spans="13:20" s="5" customFormat="1" ht="12.75" x14ac:dyDescent="0.2">
      <c r="M7587" s="42"/>
      <c r="N7587" s="42"/>
      <c r="O7587" s="42"/>
      <c r="P7587" s="42"/>
      <c r="Q7587" s="42"/>
      <c r="R7587" s="42"/>
      <c r="S7587" s="42"/>
      <c r="T7587" s="42"/>
    </row>
    <row r="7588" spans="13:20" s="5" customFormat="1" ht="12.75" x14ac:dyDescent="0.2">
      <c r="M7588" s="42"/>
      <c r="N7588" s="42"/>
      <c r="O7588" s="42"/>
      <c r="P7588" s="42"/>
      <c r="Q7588" s="42"/>
      <c r="R7588" s="42"/>
      <c r="S7588" s="42"/>
      <c r="T7588" s="42"/>
    </row>
    <row r="7589" spans="13:20" s="5" customFormat="1" ht="12.75" x14ac:dyDescent="0.2">
      <c r="M7589" s="42"/>
      <c r="N7589" s="42"/>
      <c r="O7589" s="42"/>
      <c r="P7589" s="42"/>
      <c r="Q7589" s="42"/>
      <c r="R7589" s="42"/>
      <c r="S7589" s="42"/>
      <c r="T7589" s="42"/>
    </row>
    <row r="7590" spans="13:20" s="5" customFormat="1" ht="12.75" x14ac:dyDescent="0.2">
      <c r="M7590" s="42"/>
      <c r="N7590" s="42"/>
      <c r="O7590" s="42"/>
      <c r="P7590" s="42"/>
      <c r="Q7590" s="42"/>
      <c r="R7590" s="42"/>
      <c r="S7590" s="42"/>
      <c r="T7590" s="42"/>
    </row>
    <row r="7591" spans="13:20" s="5" customFormat="1" ht="12.75" x14ac:dyDescent="0.2">
      <c r="M7591" s="42"/>
      <c r="N7591" s="42"/>
      <c r="O7591" s="42"/>
      <c r="P7591" s="42"/>
      <c r="Q7591" s="42"/>
      <c r="R7591" s="42"/>
      <c r="S7591" s="42"/>
      <c r="T7591" s="42"/>
    </row>
    <row r="7592" spans="13:20" s="5" customFormat="1" ht="12.75" x14ac:dyDescent="0.2">
      <c r="M7592" s="42"/>
      <c r="N7592" s="42"/>
      <c r="O7592" s="42"/>
      <c r="P7592" s="42"/>
      <c r="Q7592" s="42"/>
      <c r="R7592" s="42"/>
      <c r="S7592" s="42"/>
      <c r="T7592" s="42"/>
    </row>
    <row r="7593" spans="13:20" s="5" customFormat="1" ht="12.75" x14ac:dyDescent="0.2">
      <c r="M7593" s="42"/>
      <c r="N7593" s="42"/>
      <c r="O7593" s="42"/>
      <c r="P7593" s="42"/>
      <c r="Q7593" s="42"/>
      <c r="R7593" s="42"/>
      <c r="S7593" s="42"/>
      <c r="T7593" s="42"/>
    </row>
    <row r="7594" spans="13:20" s="5" customFormat="1" ht="12.75" x14ac:dyDescent="0.2">
      <c r="M7594" s="42"/>
      <c r="N7594" s="42"/>
      <c r="O7594" s="42"/>
      <c r="P7594" s="42"/>
      <c r="Q7594" s="42"/>
      <c r="R7594" s="42"/>
      <c r="S7594" s="42"/>
      <c r="T7594" s="42"/>
    </row>
    <row r="7595" spans="13:20" s="5" customFormat="1" ht="12.75" x14ac:dyDescent="0.2">
      <c r="M7595" s="42"/>
      <c r="N7595" s="42"/>
      <c r="O7595" s="42"/>
      <c r="P7595" s="42"/>
      <c r="Q7595" s="42"/>
      <c r="R7595" s="42"/>
      <c r="S7595" s="42"/>
      <c r="T7595" s="42"/>
    </row>
    <row r="7596" spans="13:20" s="5" customFormat="1" ht="12.75" x14ac:dyDescent="0.2">
      <c r="M7596" s="42"/>
      <c r="N7596" s="42"/>
      <c r="O7596" s="42"/>
      <c r="P7596" s="42"/>
      <c r="Q7596" s="42"/>
      <c r="R7596" s="42"/>
      <c r="S7596" s="42"/>
      <c r="T7596" s="42"/>
    </row>
    <row r="7597" spans="13:20" s="5" customFormat="1" ht="12.75" x14ac:dyDescent="0.2">
      <c r="M7597" s="42"/>
      <c r="N7597" s="42"/>
      <c r="O7597" s="42"/>
      <c r="P7597" s="42"/>
      <c r="Q7597" s="42"/>
      <c r="R7597" s="42"/>
      <c r="S7597" s="42"/>
      <c r="T7597" s="42"/>
    </row>
    <row r="7598" spans="13:20" s="5" customFormat="1" ht="12.75" x14ac:dyDescent="0.2">
      <c r="M7598" s="42"/>
      <c r="N7598" s="42"/>
      <c r="O7598" s="42"/>
      <c r="P7598" s="42"/>
      <c r="Q7598" s="42"/>
      <c r="R7598" s="42"/>
      <c r="S7598" s="42"/>
      <c r="T7598" s="42"/>
    </row>
    <row r="7599" spans="13:20" s="5" customFormat="1" ht="12.75" x14ac:dyDescent="0.2">
      <c r="M7599" s="42"/>
      <c r="N7599" s="42"/>
      <c r="O7599" s="42"/>
      <c r="P7599" s="42"/>
      <c r="Q7599" s="42"/>
      <c r="R7599" s="42"/>
      <c r="S7599" s="42"/>
      <c r="T7599" s="42"/>
    </row>
    <row r="7600" spans="13:20" s="5" customFormat="1" ht="12.75" x14ac:dyDescent="0.2">
      <c r="M7600" s="42"/>
      <c r="N7600" s="42"/>
      <c r="O7600" s="42"/>
      <c r="P7600" s="42"/>
      <c r="Q7600" s="42"/>
      <c r="R7600" s="42"/>
      <c r="S7600" s="42"/>
      <c r="T7600" s="42"/>
    </row>
    <row r="7601" spans="13:20" s="5" customFormat="1" ht="12.75" x14ac:dyDescent="0.2">
      <c r="M7601" s="42"/>
      <c r="N7601" s="42"/>
      <c r="O7601" s="42"/>
      <c r="P7601" s="42"/>
      <c r="Q7601" s="42"/>
      <c r="R7601" s="42"/>
      <c r="S7601" s="42"/>
      <c r="T7601" s="42"/>
    </row>
    <row r="7602" spans="13:20" s="5" customFormat="1" ht="12.75" x14ac:dyDescent="0.2">
      <c r="M7602" s="42"/>
      <c r="N7602" s="42"/>
      <c r="O7602" s="42"/>
      <c r="P7602" s="42"/>
      <c r="Q7602" s="42"/>
      <c r="R7602" s="42"/>
      <c r="S7602" s="42"/>
      <c r="T7602" s="42"/>
    </row>
    <row r="7603" spans="13:20" s="5" customFormat="1" ht="12.75" x14ac:dyDescent="0.2">
      <c r="M7603" s="42"/>
      <c r="N7603" s="42"/>
      <c r="O7603" s="42"/>
      <c r="P7603" s="42"/>
      <c r="Q7603" s="42"/>
      <c r="R7603" s="42"/>
      <c r="S7603" s="42"/>
      <c r="T7603" s="42"/>
    </row>
    <row r="7604" spans="13:20" s="5" customFormat="1" ht="12.75" x14ac:dyDescent="0.2">
      <c r="M7604" s="42"/>
      <c r="N7604" s="42"/>
      <c r="O7604" s="42"/>
      <c r="P7604" s="42"/>
      <c r="Q7604" s="42"/>
      <c r="R7604" s="42"/>
      <c r="S7604" s="42"/>
      <c r="T7604" s="42"/>
    </row>
    <row r="7605" spans="13:20" s="5" customFormat="1" ht="12.75" x14ac:dyDescent="0.2">
      <c r="M7605" s="42"/>
      <c r="N7605" s="42"/>
      <c r="O7605" s="42"/>
      <c r="P7605" s="42"/>
      <c r="Q7605" s="42"/>
      <c r="R7605" s="42"/>
      <c r="S7605" s="42"/>
      <c r="T7605" s="42"/>
    </row>
    <row r="7606" spans="13:20" s="5" customFormat="1" ht="12.75" x14ac:dyDescent="0.2">
      <c r="M7606" s="42"/>
      <c r="N7606" s="42"/>
      <c r="O7606" s="42"/>
      <c r="P7606" s="42"/>
      <c r="Q7606" s="42"/>
      <c r="R7606" s="42"/>
      <c r="S7606" s="42"/>
      <c r="T7606" s="42"/>
    </row>
    <row r="7607" spans="13:20" s="5" customFormat="1" ht="12.75" x14ac:dyDescent="0.2">
      <c r="M7607" s="42"/>
      <c r="N7607" s="42"/>
      <c r="O7607" s="42"/>
      <c r="P7607" s="42"/>
      <c r="Q7607" s="42"/>
      <c r="R7607" s="42"/>
      <c r="S7607" s="42"/>
      <c r="T7607" s="42"/>
    </row>
    <row r="7608" spans="13:20" s="5" customFormat="1" ht="12.75" x14ac:dyDescent="0.2">
      <c r="M7608" s="42"/>
      <c r="N7608" s="42"/>
      <c r="O7608" s="42"/>
      <c r="P7608" s="42"/>
      <c r="Q7608" s="42"/>
      <c r="R7608" s="42"/>
      <c r="S7608" s="42"/>
      <c r="T7608" s="42"/>
    </row>
    <row r="7609" spans="13:20" s="5" customFormat="1" ht="12.75" x14ac:dyDescent="0.2">
      <c r="M7609" s="42"/>
      <c r="N7609" s="42"/>
      <c r="O7609" s="42"/>
      <c r="P7609" s="42"/>
      <c r="Q7609" s="42"/>
      <c r="R7609" s="42"/>
      <c r="S7609" s="42"/>
      <c r="T7609" s="42"/>
    </row>
    <row r="7610" spans="13:20" s="5" customFormat="1" ht="12.75" x14ac:dyDescent="0.2">
      <c r="M7610" s="42"/>
      <c r="N7610" s="42"/>
      <c r="O7610" s="42"/>
      <c r="P7610" s="42"/>
      <c r="Q7610" s="42"/>
      <c r="R7610" s="42"/>
      <c r="S7610" s="42"/>
      <c r="T7610" s="42"/>
    </row>
    <row r="7611" spans="13:20" s="5" customFormat="1" ht="12.75" x14ac:dyDescent="0.2">
      <c r="M7611" s="42"/>
      <c r="N7611" s="42"/>
      <c r="O7611" s="42"/>
      <c r="P7611" s="42"/>
      <c r="Q7611" s="42"/>
      <c r="R7611" s="42"/>
      <c r="S7611" s="42"/>
      <c r="T7611" s="42"/>
    </row>
    <row r="7612" spans="13:20" s="5" customFormat="1" ht="12.75" x14ac:dyDescent="0.2">
      <c r="M7612" s="42"/>
      <c r="N7612" s="42"/>
      <c r="O7612" s="42"/>
      <c r="P7612" s="42"/>
      <c r="Q7612" s="42"/>
      <c r="R7612" s="42"/>
      <c r="S7612" s="42"/>
      <c r="T7612" s="42"/>
    </row>
    <row r="7613" spans="13:20" s="5" customFormat="1" ht="12.75" x14ac:dyDescent="0.2">
      <c r="M7613" s="42"/>
      <c r="N7613" s="42"/>
      <c r="O7613" s="42"/>
      <c r="P7613" s="42"/>
      <c r="Q7613" s="42"/>
      <c r="R7613" s="42"/>
      <c r="S7613" s="42"/>
      <c r="T7613" s="42"/>
    </row>
    <row r="7614" spans="13:20" s="5" customFormat="1" ht="12.75" x14ac:dyDescent="0.2">
      <c r="M7614" s="42"/>
      <c r="N7614" s="42"/>
      <c r="O7614" s="42"/>
      <c r="P7614" s="42"/>
      <c r="Q7614" s="42"/>
      <c r="R7614" s="42"/>
      <c r="S7614" s="42"/>
      <c r="T7614" s="42"/>
    </row>
    <row r="7615" spans="13:20" s="5" customFormat="1" ht="12.75" x14ac:dyDescent="0.2">
      <c r="M7615" s="42"/>
      <c r="N7615" s="42"/>
      <c r="O7615" s="42"/>
      <c r="P7615" s="42"/>
      <c r="Q7615" s="42"/>
      <c r="R7615" s="42"/>
      <c r="S7615" s="42"/>
      <c r="T7615" s="42"/>
    </row>
    <row r="7616" spans="13:20" s="5" customFormat="1" ht="12.75" x14ac:dyDescent="0.2">
      <c r="M7616" s="42"/>
      <c r="N7616" s="42"/>
      <c r="O7616" s="42"/>
      <c r="P7616" s="42"/>
      <c r="Q7616" s="42"/>
      <c r="R7616" s="42"/>
      <c r="S7616" s="42"/>
      <c r="T7616" s="42"/>
    </row>
    <row r="7617" spans="13:20" s="5" customFormat="1" ht="12.75" x14ac:dyDescent="0.2">
      <c r="M7617" s="42"/>
      <c r="N7617" s="42"/>
      <c r="O7617" s="42"/>
      <c r="P7617" s="42"/>
      <c r="Q7617" s="42"/>
      <c r="R7617" s="42"/>
      <c r="S7617" s="42"/>
      <c r="T7617" s="42"/>
    </row>
    <row r="7618" spans="13:20" s="5" customFormat="1" ht="12.75" x14ac:dyDescent="0.2">
      <c r="M7618" s="42"/>
      <c r="N7618" s="42"/>
      <c r="O7618" s="42"/>
      <c r="P7618" s="42"/>
      <c r="Q7618" s="42"/>
      <c r="R7618" s="42"/>
      <c r="S7618" s="42"/>
      <c r="T7618" s="42"/>
    </row>
    <row r="7619" spans="13:20" s="5" customFormat="1" ht="12.75" x14ac:dyDescent="0.2">
      <c r="M7619" s="42"/>
      <c r="N7619" s="42"/>
      <c r="O7619" s="42"/>
      <c r="P7619" s="42"/>
      <c r="Q7619" s="42"/>
      <c r="R7619" s="42"/>
      <c r="S7619" s="42"/>
      <c r="T7619" s="42"/>
    </row>
    <row r="7620" spans="13:20" s="5" customFormat="1" ht="12.75" x14ac:dyDescent="0.2">
      <c r="M7620" s="42"/>
      <c r="N7620" s="42"/>
      <c r="O7620" s="42"/>
      <c r="P7620" s="42"/>
      <c r="Q7620" s="42"/>
      <c r="R7620" s="42"/>
      <c r="S7620" s="42"/>
      <c r="T7620" s="42"/>
    </row>
    <row r="7621" spans="13:20" s="5" customFormat="1" ht="12.75" x14ac:dyDescent="0.2">
      <c r="M7621" s="42"/>
      <c r="N7621" s="42"/>
      <c r="O7621" s="42"/>
      <c r="P7621" s="42"/>
      <c r="Q7621" s="42"/>
      <c r="R7621" s="42"/>
      <c r="S7621" s="42"/>
      <c r="T7621" s="42"/>
    </row>
    <row r="7622" spans="13:20" s="5" customFormat="1" ht="12.75" x14ac:dyDescent="0.2">
      <c r="M7622" s="42"/>
      <c r="N7622" s="42"/>
      <c r="O7622" s="42"/>
      <c r="P7622" s="42"/>
      <c r="Q7622" s="42"/>
      <c r="R7622" s="42"/>
      <c r="S7622" s="42"/>
      <c r="T7622" s="42"/>
    </row>
    <row r="7623" spans="13:20" s="5" customFormat="1" ht="12.75" x14ac:dyDescent="0.2">
      <c r="M7623" s="42"/>
      <c r="N7623" s="42"/>
      <c r="O7623" s="42"/>
      <c r="P7623" s="42"/>
      <c r="Q7623" s="42"/>
      <c r="R7623" s="42"/>
      <c r="S7623" s="42"/>
      <c r="T7623" s="42"/>
    </row>
    <row r="7624" spans="13:20" s="5" customFormat="1" ht="12.75" x14ac:dyDescent="0.2">
      <c r="M7624" s="42"/>
      <c r="N7624" s="42"/>
      <c r="O7624" s="42"/>
      <c r="P7624" s="42"/>
      <c r="Q7624" s="42"/>
      <c r="R7624" s="42"/>
      <c r="S7624" s="42"/>
      <c r="T7624" s="42"/>
    </row>
    <row r="7625" spans="13:20" s="5" customFormat="1" ht="12.75" x14ac:dyDescent="0.2">
      <c r="M7625" s="42"/>
      <c r="N7625" s="42"/>
      <c r="O7625" s="42"/>
      <c r="P7625" s="42"/>
      <c r="Q7625" s="42"/>
      <c r="R7625" s="42"/>
      <c r="S7625" s="42"/>
      <c r="T7625" s="42"/>
    </row>
    <row r="7626" spans="13:20" s="5" customFormat="1" ht="12.75" x14ac:dyDescent="0.2">
      <c r="M7626" s="42"/>
      <c r="N7626" s="42"/>
      <c r="O7626" s="42"/>
      <c r="P7626" s="42"/>
      <c r="Q7626" s="42"/>
      <c r="R7626" s="42"/>
      <c r="S7626" s="42"/>
      <c r="T7626" s="42"/>
    </row>
    <row r="7627" spans="13:20" s="5" customFormat="1" ht="12.75" x14ac:dyDescent="0.2">
      <c r="M7627" s="42"/>
      <c r="N7627" s="42"/>
      <c r="O7627" s="42"/>
      <c r="P7627" s="42"/>
      <c r="Q7627" s="42"/>
      <c r="R7627" s="42"/>
      <c r="S7627" s="42"/>
      <c r="T7627" s="42"/>
    </row>
    <row r="7628" spans="13:20" s="5" customFormat="1" ht="12.75" x14ac:dyDescent="0.2">
      <c r="M7628" s="42"/>
      <c r="N7628" s="42"/>
      <c r="O7628" s="42"/>
      <c r="P7628" s="42"/>
      <c r="Q7628" s="42"/>
      <c r="R7628" s="42"/>
      <c r="S7628" s="42"/>
      <c r="T7628" s="42"/>
    </row>
    <row r="7629" spans="13:20" s="5" customFormat="1" ht="12.75" x14ac:dyDescent="0.2">
      <c r="M7629" s="42"/>
      <c r="N7629" s="42"/>
      <c r="O7629" s="42"/>
      <c r="P7629" s="42"/>
      <c r="Q7629" s="42"/>
      <c r="R7629" s="42"/>
      <c r="S7629" s="42"/>
      <c r="T7629" s="42"/>
    </row>
    <row r="7630" spans="13:20" s="5" customFormat="1" ht="12.75" x14ac:dyDescent="0.2">
      <c r="M7630" s="42"/>
      <c r="N7630" s="42"/>
      <c r="O7630" s="42"/>
      <c r="P7630" s="42"/>
      <c r="Q7630" s="42"/>
      <c r="R7630" s="42"/>
      <c r="S7630" s="42"/>
      <c r="T7630" s="42"/>
    </row>
    <row r="7631" spans="13:20" s="5" customFormat="1" ht="12.75" x14ac:dyDescent="0.2">
      <c r="M7631" s="42"/>
      <c r="N7631" s="42"/>
      <c r="O7631" s="42"/>
      <c r="P7631" s="42"/>
      <c r="Q7631" s="42"/>
      <c r="R7631" s="42"/>
      <c r="S7631" s="42"/>
      <c r="T7631" s="42"/>
    </row>
    <row r="7632" spans="13:20" s="5" customFormat="1" ht="12.75" x14ac:dyDescent="0.2">
      <c r="M7632" s="42"/>
      <c r="N7632" s="42"/>
      <c r="O7632" s="42"/>
      <c r="P7632" s="42"/>
      <c r="Q7632" s="42"/>
      <c r="R7632" s="42"/>
      <c r="S7632" s="42"/>
      <c r="T7632" s="42"/>
    </row>
    <row r="7633" spans="13:20" s="5" customFormat="1" ht="12.75" x14ac:dyDescent="0.2">
      <c r="M7633" s="42"/>
      <c r="N7633" s="42"/>
      <c r="O7633" s="42"/>
      <c r="P7633" s="42"/>
      <c r="Q7633" s="42"/>
      <c r="R7633" s="42"/>
      <c r="S7633" s="42"/>
      <c r="T7633" s="42"/>
    </row>
    <row r="7634" spans="13:20" s="5" customFormat="1" ht="12.75" x14ac:dyDescent="0.2">
      <c r="M7634" s="42"/>
      <c r="N7634" s="42"/>
      <c r="O7634" s="42"/>
      <c r="P7634" s="42"/>
      <c r="Q7634" s="42"/>
      <c r="R7634" s="42"/>
      <c r="S7634" s="42"/>
      <c r="T7634" s="42"/>
    </row>
    <row r="7635" spans="13:20" s="5" customFormat="1" ht="12.75" x14ac:dyDescent="0.2">
      <c r="M7635" s="42"/>
      <c r="N7635" s="42"/>
      <c r="O7635" s="42"/>
      <c r="P7635" s="42"/>
      <c r="Q7635" s="42"/>
      <c r="R7635" s="42"/>
      <c r="S7635" s="42"/>
      <c r="T7635" s="42"/>
    </row>
    <row r="7636" spans="13:20" s="5" customFormat="1" ht="12.75" x14ac:dyDescent="0.2">
      <c r="M7636" s="42"/>
      <c r="N7636" s="42"/>
      <c r="O7636" s="42"/>
      <c r="P7636" s="42"/>
      <c r="Q7636" s="42"/>
      <c r="R7636" s="42"/>
      <c r="S7636" s="42"/>
      <c r="T7636" s="42"/>
    </row>
    <row r="7637" spans="13:20" s="5" customFormat="1" ht="12.75" x14ac:dyDescent="0.2">
      <c r="M7637" s="42"/>
      <c r="N7637" s="42"/>
      <c r="O7637" s="42"/>
      <c r="P7637" s="42"/>
      <c r="Q7637" s="42"/>
      <c r="R7637" s="42"/>
      <c r="S7637" s="42"/>
      <c r="T7637" s="42"/>
    </row>
    <row r="7638" spans="13:20" s="5" customFormat="1" ht="12.75" x14ac:dyDescent="0.2">
      <c r="M7638" s="42"/>
      <c r="N7638" s="42"/>
      <c r="O7638" s="42"/>
      <c r="P7638" s="42"/>
      <c r="Q7638" s="42"/>
      <c r="R7638" s="42"/>
      <c r="S7638" s="42"/>
      <c r="T7638" s="42"/>
    </row>
    <row r="7639" spans="13:20" s="5" customFormat="1" ht="12.75" x14ac:dyDescent="0.2">
      <c r="M7639" s="42"/>
      <c r="N7639" s="42"/>
      <c r="O7639" s="42"/>
      <c r="P7639" s="42"/>
      <c r="Q7639" s="42"/>
      <c r="R7639" s="42"/>
      <c r="S7639" s="42"/>
      <c r="T7639" s="42"/>
    </row>
    <row r="7640" spans="13:20" s="5" customFormat="1" ht="12.75" x14ac:dyDescent="0.2">
      <c r="M7640" s="42"/>
      <c r="N7640" s="42"/>
      <c r="O7640" s="42"/>
      <c r="P7640" s="42"/>
      <c r="Q7640" s="42"/>
      <c r="R7640" s="42"/>
      <c r="S7640" s="42"/>
      <c r="T7640" s="42"/>
    </row>
    <row r="7641" spans="13:20" s="5" customFormat="1" ht="12.75" x14ac:dyDescent="0.2">
      <c r="M7641" s="42"/>
      <c r="N7641" s="42"/>
      <c r="O7641" s="42"/>
      <c r="P7641" s="42"/>
      <c r="Q7641" s="42"/>
      <c r="R7641" s="42"/>
      <c r="S7641" s="42"/>
      <c r="T7641" s="42"/>
    </row>
    <row r="7642" spans="13:20" s="5" customFormat="1" ht="12.75" x14ac:dyDescent="0.2">
      <c r="M7642" s="42"/>
      <c r="N7642" s="42"/>
      <c r="O7642" s="42"/>
      <c r="P7642" s="42"/>
      <c r="Q7642" s="42"/>
      <c r="R7642" s="42"/>
      <c r="S7642" s="42"/>
      <c r="T7642" s="42"/>
    </row>
    <row r="7643" spans="13:20" s="5" customFormat="1" ht="12.75" x14ac:dyDescent="0.2">
      <c r="M7643" s="42"/>
      <c r="N7643" s="42"/>
      <c r="O7643" s="42"/>
      <c r="P7643" s="42"/>
      <c r="Q7643" s="42"/>
      <c r="R7643" s="42"/>
      <c r="S7643" s="42"/>
      <c r="T7643" s="42"/>
    </row>
    <row r="7644" spans="13:20" s="5" customFormat="1" ht="12.75" x14ac:dyDescent="0.2">
      <c r="M7644" s="42"/>
      <c r="N7644" s="42"/>
      <c r="O7644" s="42"/>
      <c r="P7644" s="42"/>
      <c r="Q7644" s="42"/>
      <c r="R7644" s="42"/>
      <c r="S7644" s="42"/>
      <c r="T7644" s="42"/>
    </row>
    <row r="7645" spans="13:20" s="5" customFormat="1" ht="12.75" x14ac:dyDescent="0.2">
      <c r="M7645" s="42"/>
      <c r="N7645" s="42"/>
      <c r="O7645" s="42"/>
      <c r="P7645" s="42"/>
      <c r="Q7645" s="42"/>
      <c r="R7645" s="42"/>
      <c r="S7645" s="42"/>
      <c r="T7645" s="42"/>
    </row>
    <row r="7646" spans="13:20" s="5" customFormat="1" ht="12.75" x14ac:dyDescent="0.2">
      <c r="M7646" s="42"/>
      <c r="N7646" s="42"/>
      <c r="O7646" s="42"/>
      <c r="P7646" s="42"/>
      <c r="Q7646" s="42"/>
      <c r="R7646" s="42"/>
      <c r="S7646" s="42"/>
      <c r="T7646" s="42"/>
    </row>
    <row r="7647" spans="13:20" s="5" customFormat="1" ht="12.75" x14ac:dyDescent="0.2">
      <c r="M7647" s="42"/>
      <c r="N7647" s="42"/>
      <c r="O7647" s="42"/>
      <c r="P7647" s="42"/>
      <c r="Q7647" s="42"/>
      <c r="R7647" s="42"/>
      <c r="S7647" s="42"/>
      <c r="T7647" s="42"/>
    </row>
    <row r="7648" spans="13:20" s="5" customFormat="1" ht="12.75" x14ac:dyDescent="0.2">
      <c r="M7648" s="42"/>
      <c r="N7648" s="42"/>
      <c r="O7648" s="42"/>
      <c r="P7648" s="42"/>
      <c r="Q7648" s="42"/>
      <c r="R7648" s="42"/>
      <c r="S7648" s="42"/>
      <c r="T7648" s="42"/>
    </row>
    <row r="7649" spans="13:20" s="5" customFormat="1" ht="12.75" x14ac:dyDescent="0.2">
      <c r="M7649" s="42"/>
      <c r="N7649" s="42"/>
      <c r="O7649" s="42"/>
      <c r="P7649" s="42"/>
      <c r="Q7649" s="42"/>
      <c r="R7649" s="42"/>
      <c r="S7649" s="42"/>
      <c r="T7649" s="42"/>
    </row>
    <row r="7650" spans="13:20" s="5" customFormat="1" ht="12.75" x14ac:dyDescent="0.2">
      <c r="M7650" s="42"/>
      <c r="N7650" s="42"/>
      <c r="O7650" s="42"/>
      <c r="P7650" s="42"/>
      <c r="Q7650" s="42"/>
      <c r="R7650" s="42"/>
      <c r="S7650" s="42"/>
      <c r="T7650" s="42"/>
    </row>
    <row r="7651" spans="13:20" s="5" customFormat="1" ht="12.75" x14ac:dyDescent="0.2">
      <c r="M7651" s="42"/>
      <c r="N7651" s="42"/>
      <c r="O7651" s="42"/>
      <c r="P7651" s="42"/>
      <c r="Q7651" s="42"/>
      <c r="R7651" s="42"/>
      <c r="S7651" s="42"/>
      <c r="T7651" s="42"/>
    </row>
    <row r="7652" spans="13:20" s="5" customFormat="1" ht="12.75" x14ac:dyDescent="0.2">
      <c r="M7652" s="42"/>
      <c r="N7652" s="42"/>
      <c r="O7652" s="42"/>
      <c r="P7652" s="42"/>
      <c r="Q7652" s="42"/>
      <c r="R7652" s="42"/>
      <c r="S7652" s="42"/>
      <c r="T7652" s="42"/>
    </row>
    <row r="7653" spans="13:20" s="5" customFormat="1" ht="12.75" x14ac:dyDescent="0.2">
      <c r="M7653" s="42"/>
      <c r="N7653" s="42"/>
      <c r="O7653" s="42"/>
      <c r="P7653" s="42"/>
      <c r="Q7653" s="42"/>
      <c r="R7653" s="42"/>
      <c r="S7653" s="42"/>
      <c r="T7653" s="42"/>
    </row>
    <row r="7654" spans="13:20" s="5" customFormat="1" ht="12.75" x14ac:dyDescent="0.2">
      <c r="M7654" s="42"/>
      <c r="N7654" s="42"/>
      <c r="O7654" s="42"/>
      <c r="P7654" s="42"/>
      <c r="Q7654" s="42"/>
      <c r="R7654" s="42"/>
      <c r="S7654" s="42"/>
      <c r="T7654" s="42"/>
    </row>
    <row r="7655" spans="13:20" s="5" customFormat="1" ht="12.75" x14ac:dyDescent="0.2">
      <c r="M7655" s="42"/>
      <c r="N7655" s="42"/>
      <c r="O7655" s="42"/>
      <c r="P7655" s="42"/>
      <c r="Q7655" s="42"/>
      <c r="R7655" s="42"/>
      <c r="S7655" s="42"/>
      <c r="T7655" s="42"/>
    </row>
    <row r="7656" spans="13:20" s="5" customFormat="1" ht="12.75" x14ac:dyDescent="0.2">
      <c r="M7656" s="42"/>
      <c r="N7656" s="42"/>
      <c r="O7656" s="42"/>
      <c r="P7656" s="42"/>
      <c r="Q7656" s="42"/>
      <c r="R7656" s="42"/>
      <c r="S7656" s="42"/>
      <c r="T7656" s="42"/>
    </row>
    <row r="7657" spans="13:20" s="5" customFormat="1" ht="12.75" x14ac:dyDescent="0.2">
      <c r="M7657" s="42"/>
      <c r="N7657" s="42"/>
      <c r="O7657" s="42"/>
      <c r="P7657" s="42"/>
      <c r="Q7657" s="42"/>
      <c r="R7657" s="42"/>
      <c r="S7657" s="42"/>
      <c r="T7657" s="42"/>
    </row>
    <row r="7658" spans="13:20" s="5" customFormat="1" ht="12.75" x14ac:dyDescent="0.2">
      <c r="M7658" s="42"/>
      <c r="N7658" s="42"/>
      <c r="O7658" s="42"/>
      <c r="P7658" s="42"/>
      <c r="Q7658" s="42"/>
      <c r="R7658" s="42"/>
      <c r="S7658" s="42"/>
      <c r="T7658" s="42"/>
    </row>
    <row r="7659" spans="13:20" s="5" customFormat="1" ht="12.75" x14ac:dyDescent="0.2">
      <c r="M7659" s="42"/>
      <c r="N7659" s="42"/>
      <c r="O7659" s="42"/>
      <c r="P7659" s="42"/>
      <c r="Q7659" s="42"/>
      <c r="R7659" s="42"/>
      <c r="S7659" s="42"/>
      <c r="T7659" s="42"/>
    </row>
    <row r="7660" spans="13:20" s="5" customFormat="1" ht="12.75" x14ac:dyDescent="0.2">
      <c r="M7660" s="42"/>
      <c r="N7660" s="42"/>
      <c r="O7660" s="42"/>
      <c r="P7660" s="42"/>
      <c r="Q7660" s="42"/>
      <c r="R7660" s="42"/>
      <c r="S7660" s="42"/>
      <c r="T7660" s="42"/>
    </row>
    <row r="7661" spans="13:20" s="5" customFormat="1" ht="12.75" x14ac:dyDescent="0.2">
      <c r="M7661" s="42"/>
      <c r="N7661" s="42"/>
      <c r="O7661" s="42"/>
      <c r="P7661" s="42"/>
      <c r="Q7661" s="42"/>
      <c r="R7661" s="42"/>
      <c r="S7661" s="42"/>
      <c r="T7661" s="42"/>
    </row>
    <row r="7662" spans="13:20" s="5" customFormat="1" ht="12.75" x14ac:dyDescent="0.2">
      <c r="M7662" s="42"/>
      <c r="N7662" s="42"/>
      <c r="O7662" s="42"/>
      <c r="P7662" s="42"/>
      <c r="Q7662" s="42"/>
      <c r="R7662" s="42"/>
      <c r="S7662" s="42"/>
      <c r="T7662" s="42"/>
    </row>
    <row r="7663" spans="13:20" s="5" customFormat="1" ht="12.75" x14ac:dyDescent="0.2">
      <c r="M7663" s="42"/>
      <c r="N7663" s="42"/>
      <c r="O7663" s="42"/>
      <c r="P7663" s="42"/>
      <c r="Q7663" s="42"/>
      <c r="R7663" s="42"/>
      <c r="S7663" s="42"/>
      <c r="T7663" s="42"/>
    </row>
    <row r="7664" spans="13:20" s="5" customFormat="1" ht="12.75" x14ac:dyDescent="0.2">
      <c r="M7664" s="42"/>
      <c r="N7664" s="42"/>
      <c r="O7664" s="42"/>
      <c r="P7664" s="42"/>
      <c r="Q7664" s="42"/>
      <c r="R7664" s="42"/>
      <c r="S7664" s="42"/>
      <c r="T7664" s="42"/>
    </row>
    <row r="7665" spans="13:20" s="5" customFormat="1" ht="12.75" x14ac:dyDescent="0.2">
      <c r="M7665" s="42"/>
      <c r="N7665" s="42"/>
      <c r="O7665" s="42"/>
      <c r="P7665" s="42"/>
      <c r="Q7665" s="42"/>
      <c r="R7665" s="42"/>
      <c r="S7665" s="42"/>
      <c r="T7665" s="42"/>
    </row>
    <row r="7666" spans="13:20" s="5" customFormat="1" ht="12.75" x14ac:dyDescent="0.2">
      <c r="M7666" s="42"/>
      <c r="N7666" s="42"/>
      <c r="O7666" s="42"/>
      <c r="P7666" s="42"/>
      <c r="Q7666" s="42"/>
      <c r="R7666" s="42"/>
      <c r="S7666" s="42"/>
      <c r="T7666" s="42"/>
    </row>
    <row r="7667" spans="13:20" s="5" customFormat="1" ht="12.75" x14ac:dyDescent="0.2">
      <c r="M7667" s="42"/>
      <c r="N7667" s="42"/>
      <c r="O7667" s="42"/>
      <c r="P7667" s="42"/>
      <c r="Q7667" s="42"/>
      <c r="R7667" s="42"/>
      <c r="S7667" s="42"/>
      <c r="T7667" s="42"/>
    </row>
    <row r="7668" spans="13:20" s="5" customFormat="1" ht="12.75" x14ac:dyDescent="0.2">
      <c r="M7668" s="42"/>
      <c r="N7668" s="42"/>
      <c r="O7668" s="42"/>
      <c r="P7668" s="42"/>
      <c r="Q7668" s="42"/>
      <c r="R7668" s="42"/>
      <c r="S7668" s="42"/>
      <c r="T7668" s="42"/>
    </row>
    <row r="7669" spans="13:20" s="5" customFormat="1" ht="12.75" x14ac:dyDescent="0.2">
      <c r="M7669" s="42"/>
      <c r="N7669" s="42"/>
      <c r="O7669" s="42"/>
      <c r="P7669" s="42"/>
      <c r="Q7669" s="42"/>
      <c r="R7669" s="42"/>
      <c r="S7669" s="42"/>
      <c r="T7669" s="42"/>
    </row>
    <row r="7670" spans="13:20" s="5" customFormat="1" ht="12.75" x14ac:dyDescent="0.2">
      <c r="M7670" s="42"/>
      <c r="N7670" s="42"/>
      <c r="O7670" s="42"/>
      <c r="P7670" s="42"/>
      <c r="Q7670" s="42"/>
      <c r="R7670" s="42"/>
      <c r="S7670" s="42"/>
      <c r="T7670" s="42"/>
    </row>
    <row r="7671" spans="13:20" s="5" customFormat="1" ht="12.75" x14ac:dyDescent="0.2">
      <c r="M7671" s="42"/>
      <c r="N7671" s="42"/>
      <c r="O7671" s="42"/>
      <c r="P7671" s="42"/>
      <c r="Q7671" s="42"/>
      <c r="R7671" s="42"/>
      <c r="S7671" s="42"/>
      <c r="T7671" s="42"/>
    </row>
    <row r="7672" spans="13:20" s="5" customFormat="1" ht="12.75" x14ac:dyDescent="0.2">
      <c r="M7672" s="42"/>
      <c r="N7672" s="42"/>
      <c r="O7672" s="42"/>
      <c r="P7672" s="42"/>
      <c r="Q7672" s="42"/>
      <c r="R7672" s="42"/>
      <c r="S7672" s="42"/>
      <c r="T7672" s="42"/>
    </row>
    <row r="7673" spans="13:20" s="5" customFormat="1" ht="12.75" x14ac:dyDescent="0.2">
      <c r="M7673" s="42"/>
      <c r="N7673" s="42"/>
      <c r="O7673" s="42"/>
      <c r="P7673" s="42"/>
      <c r="Q7673" s="42"/>
      <c r="R7673" s="42"/>
      <c r="S7673" s="42"/>
      <c r="T7673" s="42"/>
    </row>
    <row r="7674" spans="13:20" s="5" customFormat="1" ht="12.75" x14ac:dyDescent="0.2">
      <c r="M7674" s="42"/>
      <c r="N7674" s="42"/>
      <c r="O7674" s="42"/>
      <c r="P7674" s="42"/>
      <c r="Q7674" s="42"/>
      <c r="R7674" s="42"/>
      <c r="S7674" s="42"/>
      <c r="T7674" s="42"/>
    </row>
    <row r="7675" spans="13:20" s="5" customFormat="1" ht="12.75" x14ac:dyDescent="0.2">
      <c r="M7675" s="42"/>
      <c r="N7675" s="42"/>
      <c r="O7675" s="42"/>
      <c r="P7675" s="42"/>
      <c r="Q7675" s="42"/>
      <c r="R7675" s="42"/>
      <c r="S7675" s="42"/>
      <c r="T7675" s="42"/>
    </row>
    <row r="7676" spans="13:20" s="5" customFormat="1" ht="12.75" x14ac:dyDescent="0.2">
      <c r="M7676" s="42"/>
      <c r="N7676" s="42"/>
      <c r="O7676" s="42"/>
      <c r="P7676" s="42"/>
      <c r="Q7676" s="42"/>
      <c r="R7676" s="42"/>
      <c r="S7676" s="42"/>
      <c r="T7676" s="42"/>
    </row>
    <row r="7677" spans="13:20" s="5" customFormat="1" ht="12.75" x14ac:dyDescent="0.2">
      <c r="M7677" s="42"/>
      <c r="N7677" s="42"/>
      <c r="O7677" s="42"/>
      <c r="P7677" s="42"/>
      <c r="Q7677" s="42"/>
      <c r="R7677" s="42"/>
      <c r="S7677" s="42"/>
      <c r="T7677" s="42"/>
    </row>
    <row r="7678" spans="13:20" s="5" customFormat="1" ht="12.75" x14ac:dyDescent="0.2">
      <c r="M7678" s="42"/>
      <c r="N7678" s="42"/>
      <c r="O7678" s="42"/>
      <c r="P7678" s="42"/>
      <c r="Q7678" s="42"/>
      <c r="R7678" s="42"/>
      <c r="S7678" s="42"/>
      <c r="T7678" s="42"/>
    </row>
    <row r="7679" spans="13:20" s="5" customFormat="1" ht="12.75" x14ac:dyDescent="0.2">
      <c r="M7679" s="42"/>
      <c r="N7679" s="42"/>
      <c r="O7679" s="42"/>
      <c r="P7679" s="42"/>
      <c r="Q7679" s="42"/>
      <c r="R7679" s="42"/>
      <c r="S7679" s="42"/>
      <c r="T7679" s="42"/>
    </row>
    <row r="7680" spans="13:20" s="5" customFormat="1" ht="12.75" x14ac:dyDescent="0.2">
      <c r="M7680" s="42"/>
      <c r="N7680" s="42"/>
      <c r="O7680" s="42"/>
      <c r="P7680" s="42"/>
      <c r="Q7680" s="42"/>
      <c r="R7680" s="42"/>
      <c r="S7680" s="42"/>
      <c r="T7680" s="42"/>
    </row>
    <row r="7681" spans="13:20" s="5" customFormat="1" ht="12.75" x14ac:dyDescent="0.2">
      <c r="M7681" s="42"/>
      <c r="N7681" s="42"/>
      <c r="O7681" s="42"/>
      <c r="P7681" s="42"/>
      <c r="Q7681" s="42"/>
      <c r="R7681" s="42"/>
      <c r="S7681" s="42"/>
      <c r="T7681" s="42"/>
    </row>
    <row r="7682" spans="13:20" s="5" customFormat="1" ht="12.75" x14ac:dyDescent="0.2">
      <c r="M7682" s="42"/>
      <c r="N7682" s="42"/>
      <c r="O7682" s="42"/>
      <c r="P7682" s="42"/>
      <c r="Q7682" s="42"/>
      <c r="R7682" s="42"/>
      <c r="S7682" s="42"/>
      <c r="T7682" s="42"/>
    </row>
    <row r="7683" spans="13:20" s="5" customFormat="1" ht="12.75" x14ac:dyDescent="0.2">
      <c r="M7683" s="42"/>
      <c r="N7683" s="42"/>
      <c r="O7683" s="42"/>
      <c r="P7683" s="42"/>
      <c r="Q7683" s="42"/>
      <c r="R7683" s="42"/>
      <c r="S7683" s="42"/>
      <c r="T7683" s="42"/>
    </row>
    <row r="7684" spans="13:20" s="5" customFormat="1" ht="12.75" x14ac:dyDescent="0.2">
      <c r="M7684" s="42"/>
      <c r="N7684" s="42"/>
      <c r="O7684" s="42"/>
      <c r="P7684" s="42"/>
      <c r="Q7684" s="42"/>
      <c r="R7684" s="42"/>
      <c r="S7684" s="42"/>
      <c r="T7684" s="42"/>
    </row>
    <row r="7685" spans="13:20" s="5" customFormat="1" ht="12.75" x14ac:dyDescent="0.2">
      <c r="M7685" s="42"/>
      <c r="N7685" s="42"/>
      <c r="O7685" s="42"/>
      <c r="P7685" s="42"/>
      <c r="Q7685" s="42"/>
      <c r="R7685" s="42"/>
      <c r="S7685" s="42"/>
      <c r="T7685" s="42"/>
    </row>
    <row r="7686" spans="13:20" s="5" customFormat="1" ht="12.75" x14ac:dyDescent="0.2">
      <c r="M7686" s="42"/>
      <c r="N7686" s="42"/>
      <c r="O7686" s="42"/>
      <c r="P7686" s="42"/>
      <c r="Q7686" s="42"/>
      <c r="R7686" s="42"/>
      <c r="S7686" s="42"/>
      <c r="T7686" s="42"/>
    </row>
    <row r="7687" spans="13:20" s="5" customFormat="1" ht="12.75" x14ac:dyDescent="0.2">
      <c r="M7687" s="42"/>
      <c r="N7687" s="42"/>
      <c r="O7687" s="42"/>
      <c r="P7687" s="42"/>
      <c r="Q7687" s="42"/>
      <c r="R7687" s="42"/>
      <c r="S7687" s="42"/>
      <c r="T7687" s="42"/>
    </row>
    <row r="7688" spans="13:20" s="5" customFormat="1" ht="12.75" x14ac:dyDescent="0.2">
      <c r="M7688" s="42"/>
      <c r="N7688" s="42"/>
      <c r="O7688" s="42"/>
      <c r="P7688" s="42"/>
      <c r="Q7688" s="42"/>
      <c r="R7688" s="42"/>
      <c r="S7688" s="42"/>
      <c r="T7688" s="42"/>
    </row>
    <row r="7689" spans="13:20" s="5" customFormat="1" ht="12.75" x14ac:dyDescent="0.2">
      <c r="M7689" s="42"/>
      <c r="N7689" s="42"/>
      <c r="O7689" s="42"/>
      <c r="P7689" s="42"/>
      <c r="Q7689" s="42"/>
      <c r="R7689" s="42"/>
      <c r="S7689" s="42"/>
      <c r="T7689" s="42"/>
    </row>
    <row r="7690" spans="13:20" s="5" customFormat="1" ht="12.75" x14ac:dyDescent="0.2">
      <c r="M7690" s="42"/>
      <c r="N7690" s="42"/>
      <c r="O7690" s="42"/>
      <c r="P7690" s="42"/>
      <c r="Q7690" s="42"/>
      <c r="R7690" s="42"/>
      <c r="S7690" s="42"/>
      <c r="T7690" s="42"/>
    </row>
    <row r="7691" spans="13:20" s="5" customFormat="1" ht="12.75" x14ac:dyDescent="0.2">
      <c r="M7691" s="42"/>
      <c r="N7691" s="42"/>
      <c r="O7691" s="42"/>
      <c r="P7691" s="42"/>
      <c r="Q7691" s="42"/>
      <c r="R7691" s="42"/>
      <c r="S7691" s="42"/>
      <c r="T7691" s="42"/>
    </row>
    <row r="7692" spans="13:20" s="5" customFormat="1" ht="12.75" x14ac:dyDescent="0.2">
      <c r="M7692" s="42"/>
      <c r="N7692" s="42"/>
      <c r="O7692" s="42"/>
      <c r="P7692" s="42"/>
      <c r="Q7692" s="42"/>
      <c r="R7692" s="42"/>
      <c r="S7692" s="42"/>
      <c r="T7692" s="42"/>
    </row>
    <row r="7693" spans="13:20" s="5" customFormat="1" ht="12.75" x14ac:dyDescent="0.2">
      <c r="M7693" s="42"/>
      <c r="N7693" s="42"/>
      <c r="O7693" s="42"/>
      <c r="P7693" s="42"/>
      <c r="Q7693" s="42"/>
      <c r="R7693" s="42"/>
      <c r="S7693" s="42"/>
      <c r="T7693" s="42"/>
    </row>
    <row r="7694" spans="13:20" s="5" customFormat="1" ht="12.75" x14ac:dyDescent="0.2">
      <c r="M7694" s="42"/>
      <c r="N7694" s="42"/>
      <c r="O7694" s="42"/>
      <c r="P7694" s="42"/>
      <c r="Q7694" s="42"/>
      <c r="R7694" s="42"/>
      <c r="S7694" s="42"/>
      <c r="T7694" s="42"/>
    </row>
    <row r="7695" spans="13:20" s="5" customFormat="1" ht="12.75" x14ac:dyDescent="0.2">
      <c r="M7695" s="42"/>
      <c r="N7695" s="42"/>
      <c r="O7695" s="42"/>
      <c r="P7695" s="42"/>
      <c r="Q7695" s="42"/>
      <c r="R7695" s="42"/>
      <c r="S7695" s="42"/>
      <c r="T7695" s="42"/>
    </row>
    <row r="7696" spans="13:20" s="5" customFormat="1" ht="12.75" x14ac:dyDescent="0.2">
      <c r="M7696" s="42"/>
      <c r="N7696" s="42"/>
      <c r="O7696" s="42"/>
      <c r="P7696" s="42"/>
      <c r="Q7696" s="42"/>
      <c r="R7696" s="42"/>
      <c r="S7696" s="42"/>
      <c r="T7696" s="42"/>
    </row>
    <row r="7697" spans="13:20" s="5" customFormat="1" ht="12.75" x14ac:dyDescent="0.2">
      <c r="M7697" s="42"/>
      <c r="N7697" s="42"/>
      <c r="O7697" s="42"/>
      <c r="P7697" s="42"/>
      <c r="Q7697" s="42"/>
      <c r="R7697" s="42"/>
      <c r="S7697" s="42"/>
      <c r="T7697" s="42"/>
    </row>
    <row r="7698" spans="13:20" s="5" customFormat="1" ht="12.75" x14ac:dyDescent="0.2">
      <c r="M7698" s="42"/>
      <c r="N7698" s="42"/>
      <c r="O7698" s="42"/>
      <c r="P7698" s="42"/>
      <c r="Q7698" s="42"/>
      <c r="R7698" s="42"/>
      <c r="S7698" s="42"/>
      <c r="T7698" s="42"/>
    </row>
    <row r="7699" spans="13:20" s="5" customFormat="1" ht="12.75" x14ac:dyDescent="0.2">
      <c r="M7699" s="42"/>
      <c r="N7699" s="42"/>
      <c r="O7699" s="42"/>
      <c r="P7699" s="42"/>
      <c r="Q7699" s="42"/>
      <c r="R7699" s="42"/>
      <c r="S7699" s="42"/>
      <c r="T7699" s="42"/>
    </row>
    <row r="7700" spans="13:20" s="5" customFormat="1" ht="12.75" x14ac:dyDescent="0.2">
      <c r="M7700" s="42"/>
      <c r="N7700" s="42"/>
      <c r="O7700" s="42"/>
      <c r="P7700" s="42"/>
      <c r="Q7700" s="42"/>
      <c r="R7700" s="42"/>
      <c r="S7700" s="42"/>
      <c r="T7700" s="42"/>
    </row>
    <row r="7701" spans="13:20" s="5" customFormat="1" ht="12.75" x14ac:dyDescent="0.2">
      <c r="M7701" s="42"/>
      <c r="N7701" s="42"/>
      <c r="O7701" s="42"/>
      <c r="P7701" s="42"/>
      <c r="Q7701" s="42"/>
      <c r="R7701" s="42"/>
      <c r="S7701" s="42"/>
      <c r="T7701" s="42"/>
    </row>
    <row r="7702" spans="13:20" s="5" customFormat="1" ht="12.75" x14ac:dyDescent="0.2">
      <c r="M7702" s="42"/>
      <c r="N7702" s="42"/>
      <c r="O7702" s="42"/>
      <c r="P7702" s="42"/>
      <c r="Q7702" s="42"/>
      <c r="R7702" s="42"/>
      <c r="S7702" s="42"/>
      <c r="T7702" s="42"/>
    </row>
    <row r="7703" spans="13:20" s="5" customFormat="1" ht="12.75" x14ac:dyDescent="0.2">
      <c r="M7703" s="42"/>
      <c r="N7703" s="42"/>
      <c r="O7703" s="42"/>
      <c r="P7703" s="42"/>
      <c r="Q7703" s="42"/>
      <c r="R7703" s="42"/>
      <c r="S7703" s="42"/>
      <c r="T7703" s="42"/>
    </row>
    <row r="7704" spans="13:20" s="5" customFormat="1" ht="12.75" x14ac:dyDescent="0.2">
      <c r="M7704" s="42"/>
      <c r="N7704" s="42"/>
      <c r="O7704" s="42"/>
      <c r="P7704" s="42"/>
      <c r="Q7704" s="42"/>
      <c r="R7704" s="42"/>
      <c r="S7704" s="42"/>
      <c r="T7704" s="42"/>
    </row>
    <row r="7705" spans="13:20" s="5" customFormat="1" ht="12.75" x14ac:dyDescent="0.2">
      <c r="M7705" s="42"/>
      <c r="N7705" s="42"/>
      <c r="O7705" s="42"/>
      <c r="P7705" s="42"/>
      <c r="Q7705" s="42"/>
      <c r="R7705" s="42"/>
      <c r="S7705" s="42"/>
      <c r="T7705" s="42"/>
    </row>
    <row r="7706" spans="13:20" s="5" customFormat="1" ht="12.75" x14ac:dyDescent="0.2">
      <c r="M7706" s="42"/>
      <c r="N7706" s="42"/>
      <c r="O7706" s="42"/>
      <c r="P7706" s="42"/>
      <c r="Q7706" s="42"/>
      <c r="R7706" s="42"/>
      <c r="S7706" s="42"/>
      <c r="T7706" s="42"/>
    </row>
    <row r="7707" spans="13:20" s="5" customFormat="1" ht="12.75" x14ac:dyDescent="0.2">
      <c r="M7707" s="42"/>
      <c r="N7707" s="42"/>
      <c r="O7707" s="42"/>
      <c r="P7707" s="42"/>
      <c r="Q7707" s="42"/>
      <c r="R7707" s="42"/>
      <c r="S7707" s="42"/>
      <c r="T7707" s="42"/>
    </row>
    <row r="7708" spans="13:20" s="5" customFormat="1" ht="12.75" x14ac:dyDescent="0.2">
      <c r="M7708" s="42"/>
      <c r="N7708" s="42"/>
      <c r="O7708" s="42"/>
      <c r="P7708" s="42"/>
      <c r="Q7708" s="42"/>
      <c r="R7708" s="42"/>
      <c r="S7708" s="42"/>
      <c r="T7708" s="42"/>
    </row>
    <row r="7709" spans="13:20" s="5" customFormat="1" ht="12.75" x14ac:dyDescent="0.2">
      <c r="M7709" s="42"/>
      <c r="N7709" s="42"/>
      <c r="O7709" s="42"/>
      <c r="P7709" s="42"/>
      <c r="Q7709" s="42"/>
      <c r="R7709" s="42"/>
      <c r="S7709" s="42"/>
      <c r="T7709" s="42"/>
    </row>
    <row r="7710" spans="13:20" s="5" customFormat="1" ht="12.75" x14ac:dyDescent="0.2">
      <c r="M7710" s="42"/>
      <c r="N7710" s="42"/>
      <c r="O7710" s="42"/>
      <c r="P7710" s="42"/>
      <c r="Q7710" s="42"/>
      <c r="R7710" s="42"/>
      <c r="S7710" s="42"/>
      <c r="T7710" s="42"/>
    </row>
    <row r="7711" spans="13:20" s="5" customFormat="1" ht="12.75" x14ac:dyDescent="0.2">
      <c r="M7711" s="42"/>
      <c r="N7711" s="42"/>
      <c r="O7711" s="42"/>
      <c r="P7711" s="42"/>
      <c r="Q7711" s="42"/>
      <c r="R7711" s="42"/>
      <c r="S7711" s="42"/>
      <c r="T7711" s="42"/>
    </row>
    <row r="7712" spans="13:20" s="5" customFormat="1" ht="12.75" x14ac:dyDescent="0.2">
      <c r="M7712" s="42"/>
      <c r="N7712" s="42"/>
      <c r="O7712" s="42"/>
      <c r="P7712" s="42"/>
      <c r="Q7712" s="42"/>
      <c r="R7712" s="42"/>
      <c r="S7712" s="42"/>
      <c r="T7712" s="42"/>
    </row>
    <row r="7713" spans="13:20" s="5" customFormat="1" ht="12.75" x14ac:dyDescent="0.2">
      <c r="M7713" s="42"/>
      <c r="N7713" s="42"/>
      <c r="O7713" s="42"/>
      <c r="P7713" s="42"/>
      <c r="Q7713" s="42"/>
      <c r="R7713" s="42"/>
      <c r="S7713" s="42"/>
      <c r="T7713" s="42"/>
    </row>
    <row r="7714" spans="13:20" s="5" customFormat="1" ht="12.75" x14ac:dyDescent="0.2">
      <c r="M7714" s="42"/>
      <c r="N7714" s="42"/>
      <c r="O7714" s="42"/>
      <c r="P7714" s="42"/>
      <c r="Q7714" s="42"/>
      <c r="R7714" s="42"/>
      <c r="S7714" s="42"/>
      <c r="T7714" s="42"/>
    </row>
    <row r="7715" spans="13:20" s="5" customFormat="1" ht="12.75" x14ac:dyDescent="0.2">
      <c r="M7715" s="42"/>
      <c r="N7715" s="42"/>
      <c r="O7715" s="42"/>
      <c r="P7715" s="42"/>
      <c r="Q7715" s="42"/>
      <c r="R7715" s="42"/>
      <c r="S7715" s="42"/>
      <c r="T7715" s="42"/>
    </row>
    <row r="7716" spans="13:20" s="5" customFormat="1" ht="12.75" x14ac:dyDescent="0.2">
      <c r="M7716" s="42"/>
      <c r="N7716" s="42"/>
      <c r="O7716" s="42"/>
      <c r="P7716" s="42"/>
      <c r="Q7716" s="42"/>
      <c r="R7716" s="42"/>
      <c r="S7716" s="42"/>
      <c r="T7716" s="42"/>
    </row>
    <row r="7717" spans="13:20" s="5" customFormat="1" ht="12.75" x14ac:dyDescent="0.2">
      <c r="M7717" s="42"/>
      <c r="N7717" s="42"/>
      <c r="O7717" s="42"/>
      <c r="P7717" s="42"/>
      <c r="Q7717" s="42"/>
      <c r="R7717" s="42"/>
      <c r="S7717" s="42"/>
      <c r="T7717" s="42"/>
    </row>
    <row r="7718" spans="13:20" s="5" customFormat="1" ht="12.75" x14ac:dyDescent="0.2">
      <c r="M7718" s="42"/>
      <c r="N7718" s="42"/>
      <c r="O7718" s="42"/>
      <c r="P7718" s="42"/>
      <c r="Q7718" s="42"/>
      <c r="R7718" s="42"/>
      <c r="S7718" s="42"/>
      <c r="T7718" s="42"/>
    </row>
    <row r="7719" spans="13:20" s="5" customFormat="1" ht="12.75" x14ac:dyDescent="0.2">
      <c r="M7719" s="42"/>
      <c r="N7719" s="42"/>
      <c r="O7719" s="42"/>
      <c r="P7719" s="42"/>
      <c r="Q7719" s="42"/>
      <c r="R7719" s="42"/>
      <c r="S7719" s="42"/>
      <c r="T7719" s="42"/>
    </row>
    <row r="7720" spans="13:20" s="5" customFormat="1" ht="12.75" x14ac:dyDescent="0.2">
      <c r="M7720" s="42"/>
      <c r="N7720" s="42"/>
      <c r="O7720" s="42"/>
      <c r="P7720" s="42"/>
      <c r="Q7720" s="42"/>
      <c r="R7720" s="42"/>
      <c r="S7720" s="42"/>
      <c r="T7720" s="42"/>
    </row>
    <row r="7721" spans="13:20" s="5" customFormat="1" ht="12.75" x14ac:dyDescent="0.2">
      <c r="M7721" s="42"/>
      <c r="N7721" s="42"/>
      <c r="O7721" s="42"/>
      <c r="P7721" s="42"/>
      <c r="Q7721" s="42"/>
      <c r="R7721" s="42"/>
      <c r="S7721" s="42"/>
      <c r="T7721" s="42"/>
    </row>
    <row r="7722" spans="13:20" s="5" customFormat="1" ht="12.75" x14ac:dyDescent="0.2">
      <c r="M7722" s="42"/>
      <c r="N7722" s="42"/>
      <c r="O7722" s="42"/>
      <c r="P7722" s="42"/>
      <c r="Q7722" s="42"/>
      <c r="R7722" s="42"/>
      <c r="S7722" s="42"/>
      <c r="T7722" s="42"/>
    </row>
    <row r="7723" spans="13:20" s="5" customFormat="1" ht="12.75" x14ac:dyDescent="0.2">
      <c r="M7723" s="42"/>
      <c r="N7723" s="42"/>
      <c r="O7723" s="42"/>
      <c r="P7723" s="42"/>
      <c r="Q7723" s="42"/>
      <c r="R7723" s="42"/>
      <c r="S7723" s="42"/>
      <c r="T7723" s="42"/>
    </row>
    <row r="7724" spans="13:20" s="5" customFormat="1" ht="12.75" x14ac:dyDescent="0.2">
      <c r="M7724" s="42"/>
      <c r="N7724" s="42"/>
      <c r="O7724" s="42"/>
      <c r="P7724" s="42"/>
      <c r="Q7724" s="42"/>
      <c r="R7724" s="42"/>
      <c r="S7724" s="42"/>
      <c r="T7724" s="42"/>
    </row>
    <row r="7725" spans="13:20" s="5" customFormat="1" ht="12.75" x14ac:dyDescent="0.2">
      <c r="M7725" s="42"/>
      <c r="N7725" s="42"/>
      <c r="O7725" s="42"/>
      <c r="P7725" s="42"/>
      <c r="Q7725" s="42"/>
      <c r="R7725" s="42"/>
      <c r="S7725" s="42"/>
      <c r="T7725" s="42"/>
    </row>
    <row r="7726" spans="13:20" s="5" customFormat="1" ht="12.75" x14ac:dyDescent="0.2">
      <c r="M7726" s="42"/>
      <c r="N7726" s="42"/>
      <c r="O7726" s="42"/>
      <c r="P7726" s="42"/>
      <c r="Q7726" s="42"/>
      <c r="R7726" s="42"/>
      <c r="S7726" s="42"/>
      <c r="T7726" s="42"/>
    </row>
    <row r="7727" spans="13:20" s="5" customFormat="1" ht="12.75" x14ac:dyDescent="0.2">
      <c r="M7727" s="42"/>
      <c r="N7727" s="42"/>
      <c r="O7727" s="42"/>
      <c r="P7727" s="42"/>
      <c r="Q7727" s="42"/>
      <c r="R7727" s="42"/>
      <c r="S7727" s="42"/>
      <c r="T7727" s="42"/>
    </row>
    <row r="7728" spans="13:20" s="5" customFormat="1" ht="12.75" x14ac:dyDescent="0.2">
      <c r="M7728" s="42"/>
      <c r="N7728" s="42"/>
      <c r="O7728" s="42"/>
      <c r="P7728" s="42"/>
      <c r="Q7728" s="42"/>
      <c r="R7728" s="42"/>
      <c r="S7728" s="42"/>
      <c r="T7728" s="42"/>
    </row>
    <row r="7729" spans="13:20" s="5" customFormat="1" ht="12.75" x14ac:dyDescent="0.2">
      <c r="M7729" s="42"/>
      <c r="N7729" s="42"/>
      <c r="O7729" s="42"/>
      <c r="P7729" s="42"/>
      <c r="Q7729" s="42"/>
      <c r="R7729" s="42"/>
      <c r="S7729" s="42"/>
      <c r="T7729" s="42"/>
    </row>
    <row r="7730" spans="13:20" s="5" customFormat="1" ht="12.75" x14ac:dyDescent="0.2">
      <c r="M7730" s="42"/>
      <c r="N7730" s="42"/>
      <c r="O7730" s="42"/>
      <c r="P7730" s="42"/>
      <c r="Q7730" s="42"/>
      <c r="R7730" s="42"/>
      <c r="S7730" s="42"/>
      <c r="T7730" s="42"/>
    </row>
    <row r="7731" spans="13:20" s="5" customFormat="1" ht="12.75" x14ac:dyDescent="0.2">
      <c r="M7731" s="42"/>
      <c r="N7731" s="42"/>
      <c r="O7731" s="42"/>
      <c r="P7731" s="42"/>
      <c r="Q7731" s="42"/>
      <c r="R7731" s="42"/>
      <c r="S7731" s="42"/>
      <c r="T7731" s="42"/>
    </row>
    <row r="7732" spans="13:20" s="5" customFormat="1" ht="12.75" x14ac:dyDescent="0.2">
      <c r="M7732" s="42"/>
      <c r="N7732" s="42"/>
      <c r="O7732" s="42"/>
      <c r="P7732" s="42"/>
      <c r="Q7732" s="42"/>
      <c r="R7732" s="42"/>
      <c r="S7732" s="42"/>
      <c r="T7732" s="42"/>
    </row>
    <row r="7733" spans="13:20" s="5" customFormat="1" ht="12.75" x14ac:dyDescent="0.2">
      <c r="M7733" s="42"/>
      <c r="N7733" s="42"/>
      <c r="O7733" s="42"/>
      <c r="P7733" s="42"/>
      <c r="Q7733" s="42"/>
      <c r="R7733" s="42"/>
      <c r="S7733" s="42"/>
      <c r="T7733" s="42"/>
    </row>
    <row r="7734" spans="13:20" s="5" customFormat="1" ht="12.75" x14ac:dyDescent="0.2">
      <c r="M7734" s="42"/>
      <c r="N7734" s="42"/>
      <c r="O7734" s="42"/>
      <c r="P7734" s="42"/>
      <c r="Q7734" s="42"/>
      <c r="R7734" s="42"/>
      <c r="S7734" s="42"/>
      <c r="T7734" s="42"/>
    </row>
    <row r="7735" spans="13:20" s="5" customFormat="1" ht="12.75" x14ac:dyDescent="0.2">
      <c r="M7735" s="42"/>
      <c r="N7735" s="42"/>
      <c r="O7735" s="42"/>
      <c r="P7735" s="42"/>
      <c r="Q7735" s="42"/>
      <c r="R7735" s="42"/>
      <c r="S7735" s="42"/>
      <c r="T7735" s="42"/>
    </row>
    <row r="7736" spans="13:20" s="5" customFormat="1" ht="12.75" x14ac:dyDescent="0.2">
      <c r="M7736" s="42"/>
      <c r="N7736" s="42"/>
      <c r="O7736" s="42"/>
      <c r="P7736" s="42"/>
      <c r="Q7736" s="42"/>
      <c r="R7736" s="42"/>
      <c r="S7736" s="42"/>
      <c r="T7736" s="42"/>
    </row>
    <row r="7737" spans="13:20" s="5" customFormat="1" ht="12.75" x14ac:dyDescent="0.2">
      <c r="M7737" s="42"/>
      <c r="N7737" s="42"/>
      <c r="O7737" s="42"/>
      <c r="P7737" s="42"/>
      <c r="Q7737" s="42"/>
      <c r="R7737" s="42"/>
      <c r="S7737" s="42"/>
      <c r="T7737" s="42"/>
    </row>
    <row r="7738" spans="13:20" s="5" customFormat="1" ht="12.75" x14ac:dyDescent="0.2">
      <c r="M7738" s="42"/>
      <c r="N7738" s="42"/>
      <c r="O7738" s="42"/>
      <c r="P7738" s="42"/>
      <c r="Q7738" s="42"/>
      <c r="R7738" s="42"/>
      <c r="S7738" s="42"/>
      <c r="T7738" s="42"/>
    </row>
    <row r="7739" spans="13:20" s="5" customFormat="1" ht="12.75" x14ac:dyDescent="0.2">
      <c r="M7739" s="42"/>
      <c r="N7739" s="42"/>
      <c r="O7739" s="42"/>
      <c r="P7739" s="42"/>
      <c r="Q7739" s="42"/>
      <c r="R7739" s="42"/>
      <c r="S7739" s="42"/>
      <c r="T7739" s="42"/>
    </row>
    <row r="7740" spans="13:20" s="5" customFormat="1" ht="12.75" x14ac:dyDescent="0.2">
      <c r="M7740" s="42"/>
      <c r="N7740" s="42"/>
      <c r="O7740" s="42"/>
      <c r="P7740" s="42"/>
      <c r="Q7740" s="42"/>
      <c r="R7740" s="42"/>
      <c r="S7740" s="42"/>
      <c r="T7740" s="42"/>
    </row>
    <row r="7741" spans="13:20" s="5" customFormat="1" ht="12.75" x14ac:dyDescent="0.2">
      <c r="M7741" s="42"/>
      <c r="N7741" s="42"/>
      <c r="O7741" s="42"/>
      <c r="P7741" s="42"/>
      <c r="Q7741" s="42"/>
      <c r="R7741" s="42"/>
      <c r="S7741" s="42"/>
      <c r="T7741" s="42"/>
    </row>
    <row r="7742" spans="13:20" s="5" customFormat="1" ht="12.75" x14ac:dyDescent="0.2">
      <c r="M7742" s="42"/>
      <c r="N7742" s="42"/>
      <c r="O7742" s="42"/>
      <c r="P7742" s="42"/>
      <c r="Q7742" s="42"/>
      <c r="R7742" s="42"/>
      <c r="S7742" s="42"/>
      <c r="T7742" s="42"/>
    </row>
    <row r="7743" spans="13:20" s="5" customFormat="1" ht="12.75" x14ac:dyDescent="0.2">
      <c r="M7743" s="42"/>
      <c r="N7743" s="42"/>
      <c r="O7743" s="42"/>
      <c r="P7743" s="42"/>
      <c r="Q7743" s="42"/>
      <c r="R7743" s="42"/>
      <c r="S7743" s="42"/>
      <c r="T7743" s="42"/>
    </row>
    <row r="7744" spans="13:20" s="5" customFormat="1" ht="12.75" x14ac:dyDescent="0.2">
      <c r="M7744" s="42"/>
      <c r="N7744" s="42"/>
      <c r="O7744" s="42"/>
      <c r="P7744" s="42"/>
      <c r="Q7744" s="42"/>
      <c r="R7744" s="42"/>
      <c r="S7744" s="42"/>
      <c r="T7744" s="42"/>
    </row>
    <row r="7745" spans="13:20" s="5" customFormat="1" ht="12.75" x14ac:dyDescent="0.2">
      <c r="M7745" s="42"/>
      <c r="N7745" s="42"/>
      <c r="O7745" s="42"/>
      <c r="P7745" s="42"/>
      <c r="Q7745" s="42"/>
      <c r="R7745" s="42"/>
      <c r="S7745" s="42"/>
      <c r="T7745" s="42"/>
    </row>
    <row r="7746" spans="13:20" s="5" customFormat="1" ht="12.75" x14ac:dyDescent="0.2">
      <c r="M7746" s="42"/>
      <c r="N7746" s="42"/>
      <c r="O7746" s="42"/>
      <c r="P7746" s="42"/>
      <c r="Q7746" s="42"/>
      <c r="R7746" s="42"/>
      <c r="S7746" s="42"/>
      <c r="T7746" s="42"/>
    </row>
    <row r="7747" spans="13:20" s="5" customFormat="1" ht="12.75" x14ac:dyDescent="0.2">
      <c r="M7747" s="42"/>
      <c r="N7747" s="42"/>
      <c r="O7747" s="42"/>
      <c r="P7747" s="42"/>
      <c r="Q7747" s="42"/>
      <c r="R7747" s="42"/>
      <c r="S7747" s="42"/>
      <c r="T7747" s="42"/>
    </row>
    <row r="7748" spans="13:20" s="5" customFormat="1" ht="12.75" x14ac:dyDescent="0.2">
      <c r="M7748" s="42"/>
      <c r="N7748" s="42"/>
      <c r="O7748" s="42"/>
      <c r="P7748" s="42"/>
      <c r="Q7748" s="42"/>
      <c r="R7748" s="42"/>
      <c r="S7748" s="42"/>
      <c r="T7748" s="42"/>
    </row>
    <row r="7749" spans="13:20" s="5" customFormat="1" ht="12.75" x14ac:dyDescent="0.2">
      <c r="M7749" s="42"/>
      <c r="N7749" s="42"/>
      <c r="O7749" s="42"/>
      <c r="P7749" s="42"/>
      <c r="Q7749" s="42"/>
      <c r="R7749" s="42"/>
      <c r="S7749" s="42"/>
      <c r="T7749" s="42"/>
    </row>
    <row r="7750" spans="13:20" s="5" customFormat="1" ht="12.75" x14ac:dyDescent="0.2">
      <c r="M7750" s="42"/>
      <c r="N7750" s="42"/>
      <c r="O7750" s="42"/>
      <c r="P7750" s="42"/>
      <c r="Q7750" s="42"/>
      <c r="R7750" s="42"/>
      <c r="S7750" s="42"/>
      <c r="T7750" s="42"/>
    </row>
    <row r="7751" spans="13:20" s="5" customFormat="1" ht="12.75" x14ac:dyDescent="0.2">
      <c r="M7751" s="42"/>
      <c r="N7751" s="42"/>
      <c r="O7751" s="42"/>
      <c r="P7751" s="42"/>
      <c r="Q7751" s="42"/>
      <c r="R7751" s="42"/>
      <c r="S7751" s="42"/>
      <c r="T7751" s="42"/>
    </row>
    <row r="7752" spans="13:20" s="5" customFormat="1" ht="12.75" x14ac:dyDescent="0.2">
      <c r="M7752" s="42"/>
      <c r="N7752" s="42"/>
      <c r="O7752" s="42"/>
      <c r="P7752" s="42"/>
      <c r="Q7752" s="42"/>
      <c r="R7752" s="42"/>
      <c r="S7752" s="42"/>
      <c r="T7752" s="42"/>
    </row>
    <row r="7753" spans="13:20" s="5" customFormat="1" ht="12.75" x14ac:dyDescent="0.2">
      <c r="M7753" s="42"/>
      <c r="N7753" s="42"/>
      <c r="O7753" s="42"/>
      <c r="P7753" s="42"/>
      <c r="Q7753" s="42"/>
      <c r="R7753" s="42"/>
      <c r="S7753" s="42"/>
      <c r="T7753" s="42"/>
    </row>
    <row r="7754" spans="13:20" s="5" customFormat="1" ht="12.75" x14ac:dyDescent="0.2">
      <c r="M7754" s="42"/>
      <c r="N7754" s="42"/>
      <c r="O7754" s="42"/>
      <c r="P7754" s="42"/>
      <c r="Q7754" s="42"/>
      <c r="R7754" s="42"/>
      <c r="S7754" s="42"/>
      <c r="T7754" s="42"/>
    </row>
    <row r="7755" spans="13:20" s="5" customFormat="1" ht="12.75" x14ac:dyDescent="0.2">
      <c r="M7755" s="42"/>
      <c r="N7755" s="42"/>
      <c r="O7755" s="42"/>
      <c r="P7755" s="42"/>
      <c r="Q7755" s="42"/>
      <c r="R7755" s="42"/>
      <c r="S7755" s="42"/>
      <c r="T7755" s="42"/>
    </row>
    <row r="7756" spans="13:20" s="5" customFormat="1" ht="12.75" x14ac:dyDescent="0.2">
      <c r="M7756" s="42"/>
      <c r="N7756" s="42"/>
      <c r="O7756" s="42"/>
      <c r="P7756" s="42"/>
      <c r="Q7756" s="42"/>
      <c r="R7756" s="42"/>
      <c r="S7756" s="42"/>
      <c r="T7756" s="42"/>
    </row>
    <row r="7757" spans="13:20" s="5" customFormat="1" ht="12.75" x14ac:dyDescent="0.2">
      <c r="M7757" s="42"/>
      <c r="N7757" s="42"/>
      <c r="O7757" s="42"/>
      <c r="P7757" s="42"/>
      <c r="Q7757" s="42"/>
      <c r="R7757" s="42"/>
      <c r="S7757" s="42"/>
      <c r="T7757" s="42"/>
    </row>
    <row r="7758" spans="13:20" s="5" customFormat="1" ht="12.75" x14ac:dyDescent="0.2">
      <c r="M7758" s="42"/>
      <c r="N7758" s="42"/>
      <c r="O7758" s="42"/>
      <c r="P7758" s="42"/>
      <c r="Q7758" s="42"/>
      <c r="R7758" s="42"/>
      <c r="S7758" s="42"/>
      <c r="T7758" s="42"/>
    </row>
    <row r="7759" spans="13:20" s="5" customFormat="1" ht="12.75" x14ac:dyDescent="0.2">
      <c r="M7759" s="42"/>
      <c r="N7759" s="42"/>
      <c r="O7759" s="42"/>
      <c r="P7759" s="42"/>
      <c r="Q7759" s="42"/>
      <c r="R7759" s="42"/>
      <c r="S7759" s="42"/>
      <c r="T7759" s="42"/>
    </row>
    <row r="7760" spans="13:20" s="5" customFormat="1" ht="12.75" x14ac:dyDescent="0.2">
      <c r="M7760" s="42"/>
      <c r="N7760" s="42"/>
      <c r="O7760" s="42"/>
      <c r="P7760" s="42"/>
      <c r="Q7760" s="42"/>
      <c r="R7760" s="42"/>
      <c r="S7760" s="42"/>
      <c r="T7760" s="42"/>
    </row>
    <row r="7761" spans="13:20" s="5" customFormat="1" ht="12.75" x14ac:dyDescent="0.2">
      <c r="M7761" s="42"/>
      <c r="N7761" s="42"/>
      <c r="O7761" s="42"/>
      <c r="P7761" s="42"/>
      <c r="Q7761" s="42"/>
      <c r="R7761" s="42"/>
      <c r="S7761" s="42"/>
      <c r="T7761" s="42"/>
    </row>
    <row r="7762" spans="13:20" s="5" customFormat="1" ht="12.75" x14ac:dyDescent="0.2">
      <c r="M7762" s="42"/>
      <c r="N7762" s="42"/>
      <c r="O7762" s="42"/>
      <c r="P7762" s="42"/>
      <c r="Q7762" s="42"/>
      <c r="R7762" s="42"/>
      <c r="S7762" s="42"/>
      <c r="T7762" s="42"/>
    </row>
    <row r="7763" spans="13:20" s="5" customFormat="1" ht="12.75" x14ac:dyDescent="0.2">
      <c r="M7763" s="42"/>
      <c r="N7763" s="42"/>
      <c r="O7763" s="42"/>
      <c r="P7763" s="42"/>
      <c r="Q7763" s="42"/>
      <c r="R7763" s="42"/>
      <c r="S7763" s="42"/>
      <c r="T7763" s="42"/>
    </row>
    <row r="7764" spans="13:20" s="5" customFormat="1" ht="12.75" x14ac:dyDescent="0.2">
      <c r="M7764" s="42"/>
      <c r="N7764" s="42"/>
      <c r="O7764" s="42"/>
      <c r="P7764" s="42"/>
      <c r="Q7764" s="42"/>
      <c r="R7764" s="42"/>
      <c r="S7764" s="42"/>
      <c r="T7764" s="42"/>
    </row>
    <row r="7765" spans="13:20" s="5" customFormat="1" ht="12.75" x14ac:dyDescent="0.2">
      <c r="M7765" s="42"/>
      <c r="N7765" s="42"/>
      <c r="O7765" s="42"/>
      <c r="P7765" s="42"/>
      <c r="Q7765" s="42"/>
      <c r="R7765" s="42"/>
      <c r="S7765" s="42"/>
      <c r="T7765" s="42"/>
    </row>
    <row r="7766" spans="13:20" s="5" customFormat="1" ht="12.75" x14ac:dyDescent="0.2">
      <c r="M7766" s="42"/>
      <c r="N7766" s="42"/>
      <c r="O7766" s="42"/>
      <c r="P7766" s="42"/>
      <c r="Q7766" s="42"/>
      <c r="R7766" s="42"/>
      <c r="S7766" s="42"/>
      <c r="T7766" s="42"/>
    </row>
    <row r="7767" spans="13:20" s="5" customFormat="1" ht="12.75" x14ac:dyDescent="0.2">
      <c r="M7767" s="42"/>
      <c r="N7767" s="42"/>
      <c r="O7767" s="42"/>
      <c r="P7767" s="42"/>
      <c r="Q7767" s="42"/>
      <c r="R7767" s="42"/>
      <c r="S7767" s="42"/>
      <c r="T7767" s="42"/>
    </row>
    <row r="7768" spans="13:20" s="5" customFormat="1" ht="12.75" x14ac:dyDescent="0.2">
      <c r="M7768" s="42"/>
      <c r="N7768" s="42"/>
      <c r="O7768" s="42"/>
      <c r="P7768" s="42"/>
      <c r="Q7768" s="42"/>
      <c r="R7768" s="42"/>
      <c r="S7768" s="42"/>
      <c r="T7768" s="42"/>
    </row>
    <row r="7769" spans="13:20" s="5" customFormat="1" ht="12.75" x14ac:dyDescent="0.2">
      <c r="M7769" s="42"/>
      <c r="N7769" s="42"/>
      <c r="O7769" s="42"/>
      <c r="P7769" s="42"/>
      <c r="Q7769" s="42"/>
      <c r="R7769" s="42"/>
      <c r="S7769" s="42"/>
      <c r="T7769" s="42"/>
    </row>
    <row r="7770" spans="13:20" s="5" customFormat="1" ht="12.75" x14ac:dyDescent="0.2">
      <c r="M7770" s="42"/>
      <c r="N7770" s="42"/>
      <c r="O7770" s="42"/>
      <c r="P7770" s="42"/>
      <c r="Q7770" s="42"/>
      <c r="R7770" s="42"/>
      <c r="S7770" s="42"/>
      <c r="T7770" s="42"/>
    </row>
    <row r="7771" spans="13:20" s="5" customFormat="1" ht="12.75" x14ac:dyDescent="0.2">
      <c r="M7771" s="42"/>
      <c r="N7771" s="42"/>
      <c r="O7771" s="42"/>
      <c r="P7771" s="42"/>
      <c r="Q7771" s="42"/>
      <c r="R7771" s="42"/>
      <c r="S7771" s="42"/>
      <c r="T7771" s="42"/>
    </row>
    <row r="7772" spans="13:20" s="5" customFormat="1" ht="12.75" x14ac:dyDescent="0.2">
      <c r="M7772" s="42"/>
      <c r="N7772" s="42"/>
      <c r="O7772" s="42"/>
      <c r="P7772" s="42"/>
      <c r="Q7772" s="42"/>
      <c r="R7772" s="42"/>
      <c r="S7772" s="42"/>
      <c r="T7772" s="42"/>
    </row>
    <row r="7773" spans="13:20" s="5" customFormat="1" ht="12.75" x14ac:dyDescent="0.2">
      <c r="M7773" s="42"/>
      <c r="N7773" s="42"/>
      <c r="O7773" s="42"/>
      <c r="P7773" s="42"/>
      <c r="Q7773" s="42"/>
      <c r="R7773" s="42"/>
      <c r="S7773" s="42"/>
      <c r="T7773" s="42"/>
    </row>
    <row r="7774" spans="13:20" s="5" customFormat="1" ht="12.75" x14ac:dyDescent="0.2">
      <c r="M7774" s="42"/>
      <c r="N7774" s="42"/>
      <c r="O7774" s="42"/>
      <c r="P7774" s="42"/>
      <c r="Q7774" s="42"/>
      <c r="R7774" s="42"/>
      <c r="S7774" s="42"/>
      <c r="T7774" s="42"/>
    </row>
    <row r="7775" spans="13:20" s="5" customFormat="1" ht="12.75" x14ac:dyDescent="0.2">
      <c r="M7775" s="42"/>
      <c r="N7775" s="42"/>
      <c r="O7775" s="42"/>
      <c r="P7775" s="42"/>
      <c r="Q7775" s="42"/>
      <c r="R7775" s="42"/>
      <c r="S7775" s="42"/>
      <c r="T7775" s="42"/>
    </row>
    <row r="7776" spans="13:20" s="5" customFormat="1" ht="12.75" x14ac:dyDescent="0.2">
      <c r="M7776" s="42"/>
      <c r="N7776" s="42"/>
      <c r="O7776" s="42"/>
      <c r="P7776" s="42"/>
      <c r="Q7776" s="42"/>
      <c r="R7776" s="42"/>
      <c r="S7776" s="42"/>
      <c r="T7776" s="42"/>
    </row>
    <row r="7777" spans="13:20" s="5" customFormat="1" ht="12.75" x14ac:dyDescent="0.2">
      <c r="M7777" s="42"/>
      <c r="N7777" s="42"/>
      <c r="O7777" s="42"/>
      <c r="P7777" s="42"/>
      <c r="Q7777" s="42"/>
      <c r="R7777" s="42"/>
      <c r="S7777" s="42"/>
      <c r="T7777" s="42"/>
    </row>
    <row r="7778" spans="13:20" s="5" customFormat="1" ht="12.75" x14ac:dyDescent="0.2">
      <c r="M7778" s="42"/>
      <c r="N7778" s="42"/>
      <c r="O7778" s="42"/>
      <c r="P7778" s="42"/>
      <c r="Q7778" s="42"/>
      <c r="R7778" s="42"/>
      <c r="S7778" s="42"/>
      <c r="T7778" s="42"/>
    </row>
    <row r="7779" spans="13:20" s="5" customFormat="1" ht="12.75" x14ac:dyDescent="0.2">
      <c r="M7779" s="42"/>
      <c r="N7779" s="42"/>
      <c r="O7779" s="42"/>
      <c r="P7779" s="42"/>
      <c r="Q7779" s="42"/>
      <c r="R7779" s="42"/>
      <c r="S7779" s="42"/>
      <c r="T7779" s="42"/>
    </row>
    <row r="7780" spans="13:20" s="5" customFormat="1" ht="12.75" x14ac:dyDescent="0.2">
      <c r="M7780" s="42"/>
      <c r="N7780" s="42"/>
      <c r="O7780" s="42"/>
      <c r="P7780" s="42"/>
      <c r="Q7780" s="42"/>
      <c r="R7780" s="42"/>
      <c r="S7780" s="42"/>
      <c r="T7780" s="42"/>
    </row>
    <row r="7781" spans="13:20" s="5" customFormat="1" ht="12.75" x14ac:dyDescent="0.2">
      <c r="M7781" s="42"/>
      <c r="N7781" s="42"/>
      <c r="O7781" s="42"/>
      <c r="P7781" s="42"/>
      <c r="Q7781" s="42"/>
      <c r="R7781" s="42"/>
      <c r="S7781" s="42"/>
      <c r="T7781" s="42"/>
    </row>
    <row r="7782" spans="13:20" s="5" customFormat="1" ht="12.75" x14ac:dyDescent="0.2">
      <c r="M7782" s="42"/>
      <c r="N7782" s="42"/>
      <c r="O7782" s="42"/>
      <c r="P7782" s="42"/>
      <c r="Q7782" s="42"/>
      <c r="R7782" s="42"/>
      <c r="S7782" s="42"/>
      <c r="T7782" s="42"/>
    </row>
    <row r="7783" spans="13:20" s="5" customFormat="1" ht="12.75" x14ac:dyDescent="0.2">
      <c r="M7783" s="42"/>
      <c r="N7783" s="42"/>
      <c r="O7783" s="42"/>
      <c r="P7783" s="42"/>
      <c r="Q7783" s="42"/>
      <c r="R7783" s="42"/>
      <c r="S7783" s="42"/>
      <c r="T7783" s="42"/>
    </row>
    <row r="7784" spans="13:20" s="5" customFormat="1" ht="12.75" x14ac:dyDescent="0.2">
      <c r="M7784" s="42"/>
      <c r="N7784" s="42"/>
      <c r="O7784" s="42"/>
      <c r="P7784" s="42"/>
      <c r="Q7784" s="42"/>
      <c r="R7784" s="42"/>
      <c r="S7784" s="42"/>
      <c r="T7784" s="42"/>
    </row>
    <row r="7785" spans="13:20" s="5" customFormat="1" ht="12.75" x14ac:dyDescent="0.2">
      <c r="M7785" s="42"/>
      <c r="N7785" s="42"/>
      <c r="O7785" s="42"/>
      <c r="P7785" s="42"/>
      <c r="Q7785" s="42"/>
      <c r="R7785" s="42"/>
      <c r="S7785" s="42"/>
      <c r="T7785" s="42"/>
    </row>
    <row r="7786" spans="13:20" s="5" customFormat="1" ht="12.75" x14ac:dyDescent="0.2">
      <c r="M7786" s="42"/>
      <c r="N7786" s="42"/>
      <c r="O7786" s="42"/>
      <c r="P7786" s="42"/>
      <c r="Q7786" s="42"/>
      <c r="R7786" s="42"/>
      <c r="S7786" s="42"/>
      <c r="T7786" s="42"/>
    </row>
    <row r="7787" spans="13:20" s="5" customFormat="1" ht="12.75" x14ac:dyDescent="0.2">
      <c r="M7787" s="42"/>
      <c r="N7787" s="42"/>
      <c r="O7787" s="42"/>
      <c r="P7787" s="42"/>
      <c r="Q7787" s="42"/>
      <c r="R7787" s="42"/>
      <c r="S7787" s="42"/>
      <c r="T7787" s="42"/>
    </row>
    <row r="7788" spans="13:20" s="5" customFormat="1" ht="12.75" x14ac:dyDescent="0.2">
      <c r="M7788" s="42"/>
      <c r="N7788" s="42"/>
      <c r="O7788" s="42"/>
      <c r="P7788" s="42"/>
      <c r="Q7788" s="42"/>
      <c r="R7788" s="42"/>
      <c r="S7788" s="42"/>
      <c r="T7788" s="42"/>
    </row>
    <row r="7789" spans="13:20" s="5" customFormat="1" ht="12.75" x14ac:dyDescent="0.2">
      <c r="M7789" s="42"/>
      <c r="N7789" s="42"/>
      <c r="O7789" s="42"/>
      <c r="P7789" s="42"/>
      <c r="Q7789" s="42"/>
      <c r="R7789" s="42"/>
      <c r="S7789" s="42"/>
      <c r="T7789" s="42"/>
    </row>
    <row r="7790" spans="13:20" s="5" customFormat="1" ht="12.75" x14ac:dyDescent="0.2">
      <c r="M7790" s="42"/>
      <c r="N7790" s="42"/>
      <c r="O7790" s="42"/>
      <c r="P7790" s="42"/>
      <c r="Q7790" s="42"/>
      <c r="R7790" s="42"/>
      <c r="S7790" s="42"/>
      <c r="T7790" s="42"/>
    </row>
    <row r="7791" spans="13:20" s="5" customFormat="1" ht="12.75" x14ac:dyDescent="0.2">
      <c r="M7791" s="42"/>
      <c r="N7791" s="42"/>
      <c r="O7791" s="42"/>
      <c r="P7791" s="42"/>
      <c r="Q7791" s="42"/>
      <c r="R7791" s="42"/>
      <c r="S7791" s="42"/>
      <c r="T7791" s="42"/>
    </row>
    <row r="7792" spans="13:20" s="5" customFormat="1" ht="12.75" x14ac:dyDescent="0.2">
      <c r="M7792" s="42"/>
      <c r="N7792" s="42"/>
      <c r="O7792" s="42"/>
      <c r="P7792" s="42"/>
      <c r="Q7792" s="42"/>
      <c r="R7792" s="42"/>
      <c r="S7792" s="42"/>
      <c r="T7792" s="42"/>
    </row>
    <row r="7793" spans="13:20" s="5" customFormat="1" ht="12.75" x14ac:dyDescent="0.2">
      <c r="M7793" s="42"/>
      <c r="N7793" s="42"/>
      <c r="O7793" s="42"/>
      <c r="P7793" s="42"/>
      <c r="Q7793" s="42"/>
      <c r="R7793" s="42"/>
      <c r="S7793" s="42"/>
      <c r="T7793" s="42"/>
    </row>
    <row r="7794" spans="13:20" s="5" customFormat="1" ht="12.75" x14ac:dyDescent="0.2">
      <c r="M7794" s="42"/>
      <c r="N7794" s="42"/>
      <c r="O7794" s="42"/>
      <c r="P7794" s="42"/>
      <c r="Q7794" s="42"/>
      <c r="R7794" s="42"/>
      <c r="S7794" s="42"/>
      <c r="T7794" s="42"/>
    </row>
    <row r="7795" spans="13:20" s="5" customFormat="1" ht="12.75" x14ac:dyDescent="0.2">
      <c r="M7795" s="42"/>
      <c r="N7795" s="42"/>
      <c r="O7795" s="42"/>
      <c r="P7795" s="42"/>
      <c r="Q7795" s="42"/>
      <c r="R7795" s="42"/>
      <c r="S7795" s="42"/>
      <c r="T7795" s="42"/>
    </row>
  </sheetData>
  <dataValidations count="1">
    <dataValidation type="list" allowBlank="1" showInputMessage="1" showErrorMessage="1" sqref="C33">
      <formula1>"Normal,Utility,Acrobatic"</formula1>
    </dataValidation>
  </dataValidations>
  <hyperlinks>
    <hyperlink ref="G64" r:id="rId1"/>
    <hyperlink ref="G121" r:id="rId2"/>
    <hyperlink ref="G178" r:id="rId3"/>
    <hyperlink ref="G236" r:id="rId4"/>
    <hyperlink ref="G298" r:id="rId5"/>
    <hyperlink ref="G360" r:id="rId6"/>
  </hyperlinks>
  <pageMargins left="0.47244094488188998" right="0.23622047244094499" top="0.31496062992126" bottom="0.25" header="0.43307086614173201" footer="0.25"/>
  <pageSetup scale="98" orientation="portrait" horizontalDpi="300" r:id="rId7"/>
  <headerFooter alignWithMargins="0"/>
  <rowBreaks count="5" manualBreakCount="5">
    <brk id="64" max="10" man="1"/>
    <brk id="121" max="10" man="1"/>
    <brk id="178" max="10" man="1"/>
    <brk id="236" max="10" man="1"/>
    <brk id="298" max="10"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cp:lastPrinted>2017-03-06T01:41:48Z</cp:lastPrinted>
  <dcterms:created xsi:type="dcterms:W3CDTF">2017-03-06T01:38:54Z</dcterms:created>
  <dcterms:modified xsi:type="dcterms:W3CDTF">2017-03-06T01:43:00Z</dcterms:modified>
</cp:coreProperties>
</file>