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056" yWindow="372" windowWidth="15492" windowHeight="11772" tabRatio="871" activeTab="1"/>
  </bookViews>
  <sheets>
    <sheet name="READ ME" sheetId="37" r:id="rId1"/>
    <sheet name="Analysis" sheetId="31" r:id="rId2"/>
  </sheets>
  <externalReferences>
    <externalReference r:id="rId3"/>
    <externalReference r:id="rId4"/>
  </externalReferences>
  <definedNames>
    <definedName name="_xlnm.Print_Area" localSheetId="1">Analysis!$A$8:$K$320</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37" l="1"/>
  <c r="AA280" i="31" l="1"/>
  <c r="AA281" i="31"/>
  <c r="AA282" i="31"/>
  <c r="AA283" i="31"/>
  <c r="AA284" i="31"/>
  <c r="AA285" i="31"/>
  <c r="AA286" i="31"/>
  <c r="AA287" i="31"/>
  <c r="AA288" i="31"/>
  <c r="AA289" i="31"/>
  <c r="AA290" i="31"/>
  <c r="AA291" i="31"/>
  <c r="AA292" i="31"/>
  <c r="AA303" i="31"/>
  <c r="AA279" i="31"/>
  <c r="Z279" i="31"/>
  <c r="Z280" i="31"/>
  <c r="Z281" i="31"/>
  <c r="Z282" i="31"/>
  <c r="Z283" i="31"/>
  <c r="Z284" i="31"/>
  <c r="Z285" i="31"/>
  <c r="Z286" i="31"/>
  <c r="Z287" i="31"/>
  <c r="Z288" i="31"/>
  <c r="Z289" i="31"/>
  <c r="Z290" i="31"/>
  <c r="Z291" i="31"/>
  <c r="Z292" i="31"/>
  <c r="Z303" i="31"/>
  <c r="Y279" i="31"/>
  <c r="Y280" i="31"/>
  <c r="Y281" i="31"/>
  <c r="Y282" i="31"/>
  <c r="Y283" i="31"/>
  <c r="Y284" i="31"/>
  <c r="Y285" i="31"/>
  <c r="Y286" i="31"/>
  <c r="Y287" i="31"/>
  <c r="Y288" i="31"/>
  <c r="Y289" i="31"/>
  <c r="Y290" i="31"/>
  <c r="Y291" i="31"/>
  <c r="Y292" i="31"/>
  <c r="Y303" i="31"/>
  <c r="X293" i="31"/>
  <c r="Z293" i="31" s="1"/>
  <c r="AB289" i="31"/>
  <c r="AB293" i="31" s="1"/>
  <c r="AC287" i="31"/>
  <c r="AC291" i="31" s="1"/>
  <c r="B273" i="31"/>
  <c r="F272" i="31"/>
  <c r="L271" i="31"/>
  <c r="F271" i="31"/>
  <c r="J270" i="31"/>
  <c r="F270" i="31"/>
  <c r="J269" i="31"/>
  <c r="F269" i="31"/>
  <c r="L219" i="31"/>
  <c r="F219" i="31"/>
  <c r="J218" i="31"/>
  <c r="F218" i="31"/>
  <c r="J217" i="31"/>
  <c r="F217" i="31"/>
  <c r="AC235" i="31"/>
  <c r="AB237" i="31"/>
  <c r="Z230" i="31"/>
  <c r="Z231" i="31"/>
  <c r="Z232" i="31"/>
  <c r="Z233" i="31"/>
  <c r="Z234" i="31"/>
  <c r="Z235" i="31"/>
  <c r="Z236" i="31"/>
  <c r="Z237" i="31"/>
  <c r="Z238" i="31"/>
  <c r="Z239" i="31"/>
  <c r="Z240" i="31"/>
  <c r="Z251" i="31"/>
  <c r="Y230" i="31"/>
  <c r="Y231" i="31"/>
  <c r="Y232" i="31"/>
  <c r="Y233" i="31"/>
  <c r="Y234" i="31"/>
  <c r="Y235" i="31"/>
  <c r="Y236" i="31"/>
  <c r="Y237" i="31"/>
  <c r="Y238" i="31"/>
  <c r="Y239" i="31"/>
  <c r="Y240" i="31"/>
  <c r="Y251" i="31"/>
  <c r="X241" i="31"/>
  <c r="Y241" i="31" s="1"/>
  <c r="V193" i="31"/>
  <c r="AO194" i="31"/>
  <c r="AO195" i="31" s="1"/>
  <c r="AO196" i="31" s="1"/>
  <c r="AO197" i="31" s="1"/>
  <c r="AO198" i="31" s="1"/>
  <c r="AN210" i="31"/>
  <c r="V170" i="31"/>
  <c r="AK187" i="31" s="1"/>
  <c r="AK210" i="31" s="1"/>
  <c r="AA293" i="31" l="1"/>
  <c r="Z241" i="31"/>
  <c r="X242" i="31"/>
  <c r="Y293" i="31"/>
  <c r="X294" i="31"/>
  <c r="AO199" i="31"/>
  <c r="AT181" i="31"/>
  <c r="AT175" i="31"/>
  <c r="AT198" i="31" s="1"/>
  <c r="W203" i="31" s="1"/>
  <c r="AT172" i="31"/>
  <c r="AO171" i="31"/>
  <c r="AO172" i="31" s="1"/>
  <c r="AN187" i="31"/>
  <c r="Y242" i="31" l="1"/>
  <c r="X243" i="31"/>
  <c r="Z242" i="31"/>
  <c r="Z294" i="31"/>
  <c r="Y294" i="31"/>
  <c r="AA294" i="31"/>
  <c r="AD201" i="31"/>
  <c r="AD202" i="31" s="1"/>
  <c r="X295" i="31"/>
  <c r="AG183" i="31"/>
  <c r="AG184" i="31" s="1"/>
  <c r="AT195" i="31"/>
  <c r="AG186" i="31"/>
  <c r="AG187" i="31" s="1"/>
  <c r="AT204" i="31"/>
  <c r="AO200" i="31"/>
  <c r="W180" i="31"/>
  <c r="AD178" i="31"/>
  <c r="AT178" i="31"/>
  <c r="AT201" i="31" s="1"/>
  <c r="AT188" i="31"/>
  <c r="AD177" i="31" s="1"/>
  <c r="AD180" i="31"/>
  <c r="AD176" i="31"/>
  <c r="AG177" i="31" s="1"/>
  <c r="AG180" i="31" s="1"/>
  <c r="AT184" i="31"/>
  <c r="AD181" i="31" s="1"/>
  <c r="AN171" i="31"/>
  <c r="AJ171" i="31" s="1"/>
  <c r="AO173" i="31"/>
  <c r="Z243" i="31" l="1"/>
  <c r="Y243" i="31"/>
  <c r="X244" i="31"/>
  <c r="AA295" i="31"/>
  <c r="Y295" i="31"/>
  <c r="Z295" i="31"/>
  <c r="AG201" i="31"/>
  <c r="AG204" i="31" s="1"/>
  <c r="X296" i="31"/>
  <c r="AN194" i="31"/>
  <c r="AJ194" i="31" s="1"/>
  <c r="AD199" i="31"/>
  <c r="AG200" i="31" s="1"/>
  <c r="AT207" i="31"/>
  <c r="AD204" i="31" s="1"/>
  <c r="AG206" i="31"/>
  <c r="AG207" i="31" s="1"/>
  <c r="AD203" i="31"/>
  <c r="AT211" i="31"/>
  <c r="AD200" i="31" s="1"/>
  <c r="AG209" i="31"/>
  <c r="AG210" i="31" s="1"/>
  <c r="AO201" i="31"/>
  <c r="W176" i="31"/>
  <c r="AG178" i="31"/>
  <c r="AG181" i="31" s="1"/>
  <c r="AD179" i="31"/>
  <c r="AO174" i="31"/>
  <c r="X245" i="31" l="1"/>
  <c r="Y244" i="31"/>
  <c r="Z244" i="31"/>
  <c r="Y296" i="31"/>
  <c r="Z296" i="31"/>
  <c r="AA296" i="31"/>
  <c r="X297" i="31"/>
  <c r="AG203" i="31"/>
  <c r="W199" i="31"/>
  <c r="AO202" i="31"/>
  <c r="AO175" i="31"/>
  <c r="Z245" i="31" l="1"/>
  <c r="Y245" i="31"/>
  <c r="X246" i="31"/>
  <c r="Z297" i="31"/>
  <c r="Y297" i="31"/>
  <c r="AA297" i="31"/>
  <c r="X298" i="31"/>
  <c r="AO203" i="31"/>
  <c r="AO176" i="31"/>
  <c r="Z246" i="31" l="1"/>
  <c r="Y246" i="31"/>
  <c r="X247" i="31"/>
  <c r="Y298" i="31"/>
  <c r="AA298" i="31"/>
  <c r="Z298" i="31"/>
  <c r="X299" i="31"/>
  <c r="AO204" i="31"/>
  <c r="AO177" i="31"/>
  <c r="X248" i="31" l="1"/>
  <c r="Z247" i="31"/>
  <c r="Y247" i="31"/>
  <c r="AA299" i="31"/>
  <c r="Z299" i="31"/>
  <c r="Y299" i="31"/>
  <c r="X300" i="31"/>
  <c r="AO205" i="31"/>
  <c r="AO178" i="31"/>
  <c r="Y248" i="31" l="1"/>
  <c r="X249" i="31"/>
  <c r="Z248" i="31"/>
  <c r="Y300" i="31"/>
  <c r="AA300" i="31"/>
  <c r="Z300" i="31"/>
  <c r="X301" i="31"/>
  <c r="AO206" i="31"/>
  <c r="AO179" i="31"/>
  <c r="Y249" i="31" l="1"/>
  <c r="Z249" i="31"/>
  <c r="X250" i="31"/>
  <c r="Z301" i="31"/>
  <c r="AA301" i="31"/>
  <c r="Y301" i="31"/>
  <c r="X302" i="31"/>
  <c r="AO207" i="31"/>
  <c r="AO180" i="31"/>
  <c r="Y250" i="31" l="1"/>
  <c r="Z250" i="31"/>
  <c r="Y302" i="31"/>
  <c r="Z302" i="31"/>
  <c r="AA302" i="31"/>
  <c r="AO208" i="31"/>
  <c r="AO181" i="31"/>
  <c r="AO209" i="31" l="1"/>
  <c r="AO182" i="31"/>
  <c r="AO183" i="31" l="1"/>
  <c r="AO184" i="31" l="1"/>
  <c r="AO185" i="31" l="1"/>
  <c r="AO186" i="31" l="1"/>
  <c r="X131" i="31" l="1"/>
  <c r="X134" i="31"/>
  <c r="X138" i="31"/>
  <c r="X142" i="31"/>
  <c r="X146" i="31"/>
  <c r="X150" i="31"/>
  <c r="AC151" i="31"/>
  <c r="AB151" i="31"/>
  <c r="AA151" i="31"/>
  <c r="Z151" i="31"/>
  <c r="Y151" i="31"/>
  <c r="AC150" i="31"/>
  <c r="AB150" i="31"/>
  <c r="AA150" i="31"/>
  <c r="Z150" i="31"/>
  <c r="Y150" i="31"/>
  <c r="AC149" i="31"/>
  <c r="AB149" i="31"/>
  <c r="AA149" i="31"/>
  <c r="Z149" i="31"/>
  <c r="Y149" i="31"/>
  <c r="AC148" i="31"/>
  <c r="AB148" i="31"/>
  <c r="AA148" i="31"/>
  <c r="Z148" i="31"/>
  <c r="Y148" i="31"/>
  <c r="AC147" i="31"/>
  <c r="AB147" i="31"/>
  <c r="AA147" i="31"/>
  <c r="Z147" i="31"/>
  <c r="Y147" i="31"/>
  <c r="AC146" i="31"/>
  <c r="AB146" i="31"/>
  <c r="AA146" i="31"/>
  <c r="Z146" i="31"/>
  <c r="Y146" i="31"/>
  <c r="AC145" i="31"/>
  <c r="AB145" i="31"/>
  <c r="AA145" i="31"/>
  <c r="Z145" i="31"/>
  <c r="Y145" i="31"/>
  <c r="AC144" i="31"/>
  <c r="AB144" i="31"/>
  <c r="AA144" i="31"/>
  <c r="Z144" i="31"/>
  <c r="Y144" i="31"/>
  <c r="AC143" i="31"/>
  <c r="AB143" i="31"/>
  <c r="AA143" i="31"/>
  <c r="Z143" i="31"/>
  <c r="Y143" i="31"/>
  <c r="AC142" i="31"/>
  <c r="AB142" i="31"/>
  <c r="AA142" i="31"/>
  <c r="Z142" i="31"/>
  <c r="Y142" i="31"/>
  <c r="AC141" i="31"/>
  <c r="AB141" i="31"/>
  <c r="AA141" i="31"/>
  <c r="Z141" i="31"/>
  <c r="Y141" i="31"/>
  <c r="AC140" i="31"/>
  <c r="AB140" i="31"/>
  <c r="AA140" i="31"/>
  <c r="Z140" i="31"/>
  <c r="Y140" i="31"/>
  <c r="AC139" i="31"/>
  <c r="AB139" i="31"/>
  <c r="AA139" i="31"/>
  <c r="Z139" i="31"/>
  <c r="Y139" i="31"/>
  <c r="AC138" i="31"/>
  <c r="AB138" i="31"/>
  <c r="AA138" i="31"/>
  <c r="Z138" i="31"/>
  <c r="Y138" i="31"/>
  <c r="AC137" i="31"/>
  <c r="AB137" i="31"/>
  <c r="AA137" i="31"/>
  <c r="Z137" i="31"/>
  <c r="Y137" i="31"/>
  <c r="AC136" i="31"/>
  <c r="AB136" i="31"/>
  <c r="AA136" i="31"/>
  <c r="Z136" i="31"/>
  <c r="Y136" i="31"/>
  <c r="AC135" i="31"/>
  <c r="AB135" i="31"/>
  <c r="AA135" i="31"/>
  <c r="Z135" i="31"/>
  <c r="Y135" i="31"/>
  <c r="AC134" i="31"/>
  <c r="AB134" i="31"/>
  <c r="AA134" i="31"/>
  <c r="Z134" i="31"/>
  <c r="Y134" i="31"/>
  <c r="AC133" i="31"/>
  <c r="AB133" i="31"/>
  <c r="AA133" i="31"/>
  <c r="Z133" i="31"/>
  <c r="Y133" i="31"/>
  <c r="AC132" i="31"/>
  <c r="AB132" i="31"/>
  <c r="AA132" i="31"/>
  <c r="Z132" i="31"/>
  <c r="Y132" i="31"/>
  <c r="AC131" i="31"/>
  <c r="AB131" i="31"/>
  <c r="AA131" i="31"/>
  <c r="Z131" i="31"/>
  <c r="Y131" i="31"/>
  <c r="AC130" i="31"/>
  <c r="AB130" i="31"/>
  <c r="AA130" i="31"/>
  <c r="Z130" i="31"/>
  <c r="Y130" i="31"/>
  <c r="AC99" i="31"/>
  <c r="AB99" i="31"/>
  <c r="AA99" i="31"/>
  <c r="Z99" i="31"/>
  <c r="Y99" i="31"/>
  <c r="X99" i="31"/>
  <c r="AC98" i="31"/>
  <c r="AB98" i="31"/>
  <c r="AA98" i="31"/>
  <c r="Z98" i="31"/>
  <c r="Y98" i="31"/>
  <c r="X98" i="31"/>
  <c r="AC97" i="31"/>
  <c r="AB97" i="31"/>
  <c r="AA97" i="31"/>
  <c r="Z97" i="31"/>
  <c r="Y97" i="31"/>
  <c r="X97" i="31"/>
  <c r="AC96" i="31"/>
  <c r="AB96" i="31"/>
  <c r="AA96" i="31"/>
  <c r="Z96" i="31"/>
  <c r="Y96" i="31"/>
  <c r="X96" i="31"/>
  <c r="AC95" i="31"/>
  <c r="AB95" i="31"/>
  <c r="AA95" i="31"/>
  <c r="Z95" i="31"/>
  <c r="Y95" i="31"/>
  <c r="X95" i="31"/>
  <c r="AC94" i="31"/>
  <c r="AB94" i="31"/>
  <c r="AA94" i="31"/>
  <c r="Z94" i="31"/>
  <c r="Y94" i="31"/>
  <c r="X94" i="31"/>
  <c r="AC93" i="31"/>
  <c r="AB93" i="31"/>
  <c r="AA93" i="31"/>
  <c r="Z93" i="31"/>
  <c r="Y93" i="31"/>
  <c r="X93" i="31"/>
  <c r="AC92" i="31"/>
  <c r="AB92" i="31"/>
  <c r="AA92" i="31"/>
  <c r="Z92" i="31"/>
  <c r="Y92" i="31"/>
  <c r="X92" i="31"/>
  <c r="AC91" i="31"/>
  <c r="AB91" i="31"/>
  <c r="AA91" i="31"/>
  <c r="Z91" i="31"/>
  <c r="Y91" i="31"/>
  <c r="X91" i="31"/>
  <c r="AC90" i="31"/>
  <c r="AB90" i="31"/>
  <c r="AA90" i="31"/>
  <c r="Z90" i="31"/>
  <c r="Y90" i="31"/>
  <c r="X90" i="31"/>
  <c r="AC89" i="31"/>
  <c r="AB89" i="31"/>
  <c r="AA89" i="31"/>
  <c r="Z89" i="31"/>
  <c r="Y89" i="31"/>
  <c r="X89" i="31"/>
  <c r="AC88" i="31"/>
  <c r="AB88" i="31"/>
  <c r="AA88" i="31"/>
  <c r="Z88" i="31"/>
  <c r="Y88" i="31"/>
  <c r="X88" i="31"/>
  <c r="AC87" i="31"/>
  <c r="AB87" i="31"/>
  <c r="AA87" i="31"/>
  <c r="Z87" i="31"/>
  <c r="Y87" i="31"/>
  <c r="X87" i="31"/>
  <c r="AC86" i="31"/>
  <c r="AB86" i="31"/>
  <c r="AA86" i="31"/>
  <c r="Z86" i="31"/>
  <c r="Y86" i="31"/>
  <c r="X86" i="31"/>
  <c r="AC85" i="31"/>
  <c r="AB85" i="31"/>
  <c r="AA85" i="31"/>
  <c r="Z85" i="31"/>
  <c r="Y85" i="31"/>
  <c r="X85" i="31"/>
  <c r="AC84" i="31"/>
  <c r="AB84" i="31"/>
  <c r="AA84" i="31"/>
  <c r="Z84" i="31"/>
  <c r="Y84" i="31"/>
  <c r="X84" i="31"/>
  <c r="AC83" i="31"/>
  <c r="AB83" i="31"/>
  <c r="AA83" i="31"/>
  <c r="Z83" i="31"/>
  <c r="Y83" i="31"/>
  <c r="X83" i="31"/>
  <c r="AC82" i="31"/>
  <c r="AB82" i="31"/>
  <c r="AA82" i="31"/>
  <c r="Z82" i="31"/>
  <c r="Y82" i="31"/>
  <c r="X82" i="31"/>
  <c r="AC81" i="31"/>
  <c r="AB81" i="31"/>
  <c r="AA81" i="31"/>
  <c r="Z81" i="31"/>
  <c r="Y81" i="31"/>
  <c r="X81" i="31"/>
  <c r="AC80" i="31"/>
  <c r="AB80" i="31"/>
  <c r="AA80" i="31"/>
  <c r="Z80" i="31"/>
  <c r="Y80" i="31"/>
  <c r="X80" i="31"/>
  <c r="AC79" i="31"/>
  <c r="AB79" i="31"/>
  <c r="AA79" i="31"/>
  <c r="Z79" i="31"/>
  <c r="Y79" i="31"/>
  <c r="X79" i="31"/>
  <c r="AC78" i="31"/>
  <c r="AB78" i="31"/>
  <c r="AA78" i="31"/>
  <c r="Z78" i="31"/>
  <c r="Y78" i="31"/>
  <c r="X78" i="31"/>
  <c r="X149" i="31" l="1"/>
  <c r="X145" i="31"/>
  <c r="X141" i="31"/>
  <c r="X137" i="31"/>
  <c r="X133" i="31"/>
  <c r="X130" i="31"/>
  <c r="X148" i="31"/>
  <c r="X144" i="31"/>
  <c r="X140" i="31"/>
  <c r="X136" i="31"/>
  <c r="X132" i="31"/>
  <c r="X151" i="31"/>
  <c r="X147" i="31"/>
  <c r="X143" i="31"/>
  <c r="X139" i="31"/>
  <c r="X135" i="31"/>
  <c r="C22" i="31"/>
  <c r="C23" i="31" s="1"/>
  <c r="C35" i="31" l="1"/>
  <c r="AC19" i="31"/>
  <c r="AB19" i="31"/>
  <c r="AA19" i="31"/>
  <c r="C36" i="31" s="1"/>
  <c r="AT202" i="31" s="1"/>
  <c r="C19" i="31"/>
  <c r="B221" i="31"/>
  <c r="F220" i="31"/>
  <c r="B168" i="31"/>
  <c r="F167" i="31"/>
  <c r="L166" i="31"/>
  <c r="F166" i="31"/>
  <c r="J165" i="31"/>
  <c r="F165" i="31"/>
  <c r="J164" i="31"/>
  <c r="F164" i="31"/>
  <c r="B116" i="31"/>
  <c r="F115" i="31"/>
  <c r="L114" i="31"/>
  <c r="F114" i="31"/>
  <c r="J113" i="31"/>
  <c r="F113" i="31"/>
  <c r="J112" i="31"/>
  <c r="F112" i="31"/>
  <c r="B64" i="31"/>
  <c r="F63" i="31"/>
  <c r="L62" i="31"/>
  <c r="F62" i="31"/>
  <c r="J61" i="31"/>
  <c r="F61" i="31"/>
  <c r="J60" i="31"/>
  <c r="F60" i="31"/>
  <c r="C279" i="31" l="1"/>
  <c r="C227" i="31"/>
  <c r="C123" i="31"/>
  <c r="C127" i="31"/>
  <c r="AT208" i="31"/>
  <c r="AE202" i="31"/>
  <c r="AT179" i="31"/>
  <c r="AE179" i="31" s="1"/>
  <c r="AT185" i="31"/>
  <c r="AT173" i="31"/>
  <c r="AT196" i="31" s="1"/>
  <c r="AN172" i="31"/>
  <c r="AN195" i="31" s="1"/>
  <c r="AN173" i="31"/>
  <c r="AN196" i="31" s="1"/>
  <c r="AN174" i="31"/>
  <c r="AN197" i="31" s="1"/>
  <c r="AN175" i="31"/>
  <c r="AN198" i="31" s="1"/>
  <c r="AN176" i="31"/>
  <c r="AN199" i="31" s="1"/>
  <c r="AN177" i="31"/>
  <c r="AN200" i="31" s="1"/>
  <c r="AN178" i="31"/>
  <c r="AN201" i="31" s="1"/>
  <c r="AN179" i="31"/>
  <c r="AN202" i="31" s="1"/>
  <c r="AN180" i="31"/>
  <c r="AN203" i="31" s="1"/>
  <c r="AN181" i="31"/>
  <c r="AN204" i="31" s="1"/>
  <c r="AN182" i="31"/>
  <c r="AN205" i="31" s="1"/>
  <c r="AN183" i="31"/>
  <c r="AN206" i="31" s="1"/>
  <c r="AN184" i="31"/>
  <c r="AN207" i="31" s="1"/>
  <c r="AN185" i="31"/>
  <c r="AN208" i="31" s="1"/>
  <c r="AN186" i="31"/>
  <c r="AN209" i="31" s="1"/>
  <c r="C71" i="31"/>
  <c r="AE79" i="31" s="1"/>
  <c r="AF88" i="31" s="1"/>
  <c r="AF89" i="31" s="1"/>
  <c r="C75" i="31"/>
  <c r="C50" i="31"/>
  <c r="C44" i="31"/>
  <c r="C41" i="31"/>
  <c r="C47" i="31"/>
  <c r="J46" i="31" s="1"/>
  <c r="B12" i="31"/>
  <c r="C278" i="31"/>
  <c r="C49" i="31"/>
  <c r="C226" i="31"/>
  <c r="C46" i="31"/>
  <c r="C122" i="31"/>
  <c r="C126" i="31"/>
  <c r="C74" i="31"/>
  <c r="C40" i="31"/>
  <c r="C70" i="31"/>
  <c r="C43" i="31"/>
  <c r="AB279" i="31" l="1"/>
  <c r="AB227" i="31"/>
  <c r="AE199" i="31"/>
  <c r="AH200" i="31" s="1"/>
  <c r="AH206" i="31"/>
  <c r="AT199" i="31"/>
  <c r="AE201" i="31" s="1"/>
  <c r="AA203" i="31"/>
  <c r="Y199" i="31"/>
  <c r="AE204" i="31"/>
  <c r="AH203" i="31"/>
  <c r="AH204" i="31" s="1"/>
  <c r="AH207" i="31"/>
  <c r="AL194" i="31"/>
  <c r="AL195" i="31" s="1"/>
  <c r="AL196" i="31" s="1"/>
  <c r="AL197" i="31" s="1"/>
  <c r="AL198" i="31" s="1"/>
  <c r="AL199" i="31" s="1"/>
  <c r="AL200" i="31" s="1"/>
  <c r="AL201" i="31" s="1"/>
  <c r="AL202" i="31" s="1"/>
  <c r="AL203" i="31" s="1"/>
  <c r="AL204" i="31" s="1"/>
  <c r="AL205" i="31" s="1"/>
  <c r="AL206" i="31" s="1"/>
  <c r="AL207" i="31" s="1"/>
  <c r="AL208" i="31" s="1"/>
  <c r="AL209" i="31" s="1"/>
  <c r="AE176" i="31"/>
  <c r="AH177" i="31" s="1"/>
  <c r="AH183" i="31"/>
  <c r="AT176" i="31"/>
  <c r="AE178" i="31" s="1"/>
  <c r="AH180" i="31"/>
  <c r="AH181" i="31" s="1"/>
  <c r="Y176" i="31"/>
  <c r="AL171" i="31"/>
  <c r="AH184" i="31"/>
  <c r="AE181" i="31"/>
  <c r="AA180" i="31"/>
  <c r="AE85" i="31"/>
  <c r="AF92" i="31" s="1"/>
  <c r="AF93" i="31" s="1"/>
  <c r="F69" i="31"/>
  <c r="AF76" i="31" s="1"/>
  <c r="AF72" i="31" s="1"/>
  <c r="F121" i="31"/>
  <c r="AF128" i="31" s="1"/>
  <c r="AF124" i="31" s="1"/>
  <c r="AE137" i="31"/>
  <c r="AF144" i="31" s="1"/>
  <c r="AF145" i="31" s="1"/>
  <c r="AE131" i="31"/>
  <c r="AF140" i="31" s="1"/>
  <c r="AF141" i="31" s="1"/>
  <c r="F11" i="31"/>
  <c r="L10" i="31"/>
  <c r="F10" i="31"/>
  <c r="J9" i="31"/>
  <c r="F9" i="31"/>
  <c r="J8" i="31"/>
  <c r="F8" i="31"/>
  <c r="X7" i="31"/>
  <c r="X6" i="31"/>
  <c r="X5" i="31"/>
  <c r="X4" i="31"/>
  <c r="X3" i="31"/>
  <c r="X2" i="31"/>
  <c r="X1" i="31"/>
  <c r="G1" i="31" s="1"/>
  <c r="J271" i="31" s="1"/>
  <c r="AE279" i="31" l="1"/>
  <c r="AD279" i="31"/>
  <c r="AC279" i="31"/>
  <c r="AB283" i="31"/>
  <c r="J219" i="31"/>
  <c r="AD227" i="31"/>
  <c r="AC227" i="31"/>
  <c r="AB231" i="31"/>
  <c r="X199" i="31"/>
  <c r="AH201" i="31"/>
  <c r="Z203" i="31" s="1"/>
  <c r="AK171" i="31"/>
  <c r="AK194" i="31" s="1"/>
  <c r="AL172" i="31"/>
  <c r="AH178" i="31"/>
  <c r="Z180" i="31" s="1"/>
  <c r="X176" i="31"/>
  <c r="AF125" i="31"/>
  <c r="AF126" i="31"/>
  <c r="AF123" i="31"/>
  <c r="AG124" i="31"/>
  <c r="AF71" i="31"/>
  <c r="AF73" i="31"/>
  <c r="AF74" i="31"/>
  <c r="AG72" i="31"/>
  <c r="AG71" i="31" s="1"/>
  <c r="J114" i="31"/>
  <c r="J166" i="31"/>
  <c r="J10" i="31"/>
  <c r="J62" i="31"/>
  <c r="AB287" i="31" l="1"/>
  <c r="AB291" i="31" s="1"/>
  <c r="AB284" i="31"/>
  <c r="AB288" i="31" s="1"/>
  <c r="AB292" i="31" s="1"/>
  <c r="AC285" i="31"/>
  <c r="AC284" i="31"/>
  <c r="F303" i="31" s="1"/>
  <c r="AC289" i="31"/>
  <c r="AC288" i="31"/>
  <c r="F305" i="31" s="1"/>
  <c r="AC293" i="31"/>
  <c r="F307" i="31" s="1"/>
  <c r="AC292" i="31"/>
  <c r="AC237" i="31"/>
  <c r="AC236" i="31"/>
  <c r="F253" i="31" s="1"/>
  <c r="AC232" i="31"/>
  <c r="F251" i="31" s="1"/>
  <c r="AC233" i="31"/>
  <c r="AB235" i="31"/>
  <c r="AB232" i="31"/>
  <c r="AB236" i="31" s="1"/>
  <c r="AK172" i="31"/>
  <c r="AL173" i="31"/>
  <c r="AG123" i="31"/>
  <c r="AG125" i="31"/>
  <c r="AG126" i="31"/>
  <c r="AF79" i="31"/>
  <c r="AF85" i="31"/>
  <c r="AF131" i="31"/>
  <c r="AF137" i="31"/>
  <c r="AG73" i="31"/>
  <c r="AG74" i="31"/>
  <c r="AJ172" i="31" l="1"/>
  <c r="AK195" i="31"/>
  <c r="AJ195" i="31" s="1"/>
  <c r="AK173" i="31"/>
  <c r="AL174" i="31"/>
  <c r="AG79" i="31"/>
  <c r="AF80" i="31" s="1"/>
  <c r="AG85" i="31"/>
  <c r="AF86" i="31" s="1"/>
  <c r="AG137" i="31"/>
  <c r="AF138" i="31" s="1"/>
  <c r="AG131" i="31"/>
  <c r="AF132" i="31" s="1"/>
  <c r="AJ173" i="31" l="1"/>
  <c r="AK196" i="31"/>
  <c r="AJ196" i="31" s="1"/>
  <c r="AK174" i="31"/>
  <c r="AL175" i="31"/>
  <c r="AG89" i="31"/>
  <c r="AG90" i="31" s="1"/>
  <c r="C98" i="31"/>
  <c r="C105" i="31" s="1"/>
  <c r="AT189" i="31" s="1"/>
  <c r="C153" i="31"/>
  <c r="C160" i="31" s="1"/>
  <c r="AT205" i="31" s="1"/>
  <c r="AG145" i="31"/>
  <c r="AG146" i="31" s="1"/>
  <c r="C150" i="31"/>
  <c r="C157" i="31" s="1"/>
  <c r="AT182" i="31" s="1"/>
  <c r="AH187" i="31" s="1"/>
  <c r="AG141" i="31"/>
  <c r="AG142" i="31" s="1"/>
  <c r="AG93" i="31"/>
  <c r="AG94" i="31" s="1"/>
  <c r="C101" i="31"/>
  <c r="C108" i="31" s="1"/>
  <c r="AT212" i="31" s="1"/>
  <c r="AE200" i="31" l="1"/>
  <c r="AH209" i="31"/>
  <c r="AH210" i="31"/>
  <c r="AE203" i="31"/>
  <c r="AJ174" i="31"/>
  <c r="AK197" i="31"/>
  <c r="AJ197" i="31" s="1"/>
  <c r="AE177" i="31"/>
  <c r="AH186" i="31"/>
  <c r="AK175" i="31"/>
  <c r="AL176" i="31"/>
  <c r="AE180" i="31"/>
  <c r="AJ175" i="31" l="1"/>
  <c r="AK198" i="31"/>
  <c r="AJ198" i="31" s="1"/>
  <c r="AK176" i="31"/>
  <c r="AL177" i="31"/>
  <c r="AJ176" i="31" l="1"/>
  <c r="AK199" i="31"/>
  <c r="AJ199" i="31" s="1"/>
  <c r="AK177" i="31"/>
  <c r="AL178" i="31"/>
  <c r="AJ177" i="31" l="1"/>
  <c r="AK200" i="31"/>
  <c r="AJ200" i="31" s="1"/>
  <c r="AK178" i="31"/>
  <c r="AL179" i="31"/>
  <c r="AJ178" i="31" l="1"/>
  <c r="AK201" i="31"/>
  <c r="AJ201" i="31" s="1"/>
  <c r="AK179" i="31"/>
  <c r="AL180" i="31"/>
  <c r="AJ179" i="31" l="1"/>
  <c r="AK202" i="31"/>
  <c r="AJ202" i="31" s="1"/>
  <c r="AK180" i="31"/>
  <c r="AL181" i="31"/>
  <c r="AJ180" i="31" l="1"/>
  <c r="AK203" i="31"/>
  <c r="AJ203" i="31" s="1"/>
  <c r="AK181" i="31"/>
  <c r="AL182" i="31"/>
  <c r="AJ181" i="31" l="1"/>
  <c r="AK204" i="31"/>
  <c r="AJ204" i="31" s="1"/>
  <c r="AK182" i="31"/>
  <c r="AL183" i="31"/>
  <c r="AJ182" i="31" l="1"/>
  <c r="AK205" i="31"/>
  <c r="AJ205" i="31" s="1"/>
  <c r="AK183" i="31"/>
  <c r="AL184" i="31"/>
  <c r="AJ183" i="31" l="1"/>
  <c r="AK206" i="31"/>
  <c r="AJ206" i="31" s="1"/>
  <c r="AK184" i="31"/>
  <c r="AL185" i="31"/>
  <c r="AJ184" i="31" l="1"/>
  <c r="AK207" i="31"/>
  <c r="AJ207" i="31" s="1"/>
  <c r="AK185" i="31"/>
  <c r="AL186" i="31"/>
  <c r="AK186" i="31" s="1"/>
  <c r="AJ186" i="31" l="1"/>
  <c r="AK209" i="31"/>
  <c r="AJ209" i="31" s="1"/>
  <c r="AJ185" i="31"/>
  <c r="AK208" i="31"/>
  <c r="AJ208" i="31" s="1"/>
</calcChain>
</file>

<file path=xl/sharedStrings.xml><?xml version="1.0" encoding="utf-8"?>
<sst xmlns="http://schemas.openxmlformats.org/spreadsheetml/2006/main" count="283" uniqueCount="122">
  <si>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</si>
  <si>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</si>
  <si>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</si>
  <si>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</si>
  <si>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</si>
  <si>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</si>
  <si>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</si>
  <si>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</si>
  <si>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</si>
  <si>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</si>
  <si>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</si>
  <si>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</si>
  <si>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</si>
  <si>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</si>
  <si>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</si>
  <si>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</si>
  <si>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</si>
  <si>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</si>
  <si>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</si>
  <si>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</si>
  <si>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</si>
  <si>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</si>
  <si>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</si>
  <si>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</si>
  <si>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</si>
  <si>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</si>
  <si>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</si>
  <si>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</si>
  <si>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</si>
  <si>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</si>
  <si>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</si>
  <si>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</si>
  <si>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</si>
  <si>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</si>
  <si>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</si>
  <si>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</si>
  <si>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</si>
  <si>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</si>
  <si>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</si>
  <si>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</si>
  <si>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</si>
  <si>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</si>
  <si>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</si>
  <si>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</si>
  <si>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</si>
  <si>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</si>
  <si>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</si>
  <si>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</si>
  <si>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AA-SM-515</t>
  </si>
  <si>
    <t>SIMPLIFIED PART 23 AIRCRAFT LOADS</t>
  </si>
  <si>
    <t>(FAA, TITLE 14, CHAPTER 1, SUB CHAPTER C, PART 23)</t>
  </si>
  <si>
    <t>Definition of Terms</t>
  </si>
  <si>
    <t>n₁ =</t>
  </si>
  <si>
    <t>n₂ =</t>
  </si>
  <si>
    <t>n₃ =</t>
  </si>
  <si>
    <t>n₄ =</t>
  </si>
  <si>
    <t>Airplane Positive Maneuvering Limit Load Factor</t>
  </si>
  <si>
    <t>Airplane Negative Maneuvering Limit Load Factor.</t>
  </si>
  <si>
    <r>
      <t>n</t>
    </r>
    <r>
      <rPr>
        <vertAlign val="subscript"/>
        <sz val="10"/>
        <color theme="1"/>
        <rFont val="Calibri"/>
        <family val="2"/>
        <scheme val="minor"/>
      </rPr>
      <t>flap</t>
    </r>
    <r>
      <rPr>
        <sz val="10"/>
        <color theme="1"/>
        <rFont val="Calibri"/>
        <family val="2"/>
        <scheme val="minor"/>
      </rPr>
      <t xml:space="preserve"> =</t>
    </r>
  </si>
  <si>
    <r>
      <t>Airplane Positive Gust Limit Load Factor at V</t>
    </r>
    <r>
      <rPr>
        <vertAlign val="subscript"/>
        <sz val="10"/>
        <color theme="1"/>
        <rFont val="Calibri"/>
        <family val="2"/>
        <scheme val="minor"/>
      </rPr>
      <t>C</t>
    </r>
    <r>
      <rPr>
        <sz val="10"/>
        <color theme="1"/>
        <rFont val="Calibri"/>
        <family val="2"/>
        <scheme val="minor"/>
      </rPr>
      <t>.</t>
    </r>
  </si>
  <si>
    <r>
      <t>Airplane Negative Gust Limit Load Factor at V</t>
    </r>
    <r>
      <rPr>
        <vertAlign val="subscript"/>
        <sz val="10"/>
        <color theme="1"/>
        <rFont val="Calibri"/>
        <family val="2"/>
        <scheme val="minor"/>
      </rPr>
      <t>C</t>
    </r>
    <r>
      <rPr>
        <sz val="10"/>
        <color theme="1"/>
        <rFont val="Calibri"/>
        <family val="2"/>
        <scheme val="minor"/>
      </rPr>
      <t>.</t>
    </r>
  </si>
  <si>
    <r>
      <t>Airplane Positive Limit Load Factor With Flaps Fully Extended at V</t>
    </r>
    <r>
      <rPr>
        <vertAlign val="subscript"/>
        <sz val="10"/>
        <color theme="1"/>
        <rFont val="Calibri"/>
        <family val="2"/>
        <scheme val="minor"/>
      </rPr>
      <t>F</t>
    </r>
  </si>
  <si>
    <t>W =</t>
  </si>
  <si>
    <t>S =</t>
  </si>
  <si>
    <t>lb (Aircraft Maximum Weight)</t>
  </si>
  <si>
    <t>ft² (Wing Area)</t>
  </si>
  <si>
    <t>W/S =</t>
  </si>
  <si>
    <t>Select Aircraft Category:</t>
  </si>
  <si>
    <t>Acrobatic</t>
  </si>
  <si>
    <t>Utility</t>
  </si>
  <si>
    <t>Normal</t>
  </si>
  <si>
    <r>
      <t>V</t>
    </r>
    <r>
      <rPr>
        <vertAlign val="subscript"/>
        <sz val="10"/>
        <color theme="1"/>
        <rFont val="Calibri"/>
        <family val="2"/>
        <scheme val="minor"/>
      </rPr>
      <t>Fmin</t>
    </r>
    <r>
      <rPr>
        <sz val="10"/>
        <color theme="1"/>
        <rFont val="Calibri"/>
        <family val="2"/>
        <scheme val="minor"/>
      </rPr>
      <t xml:space="preserve"> =</t>
    </r>
  </si>
  <si>
    <r>
      <t>V</t>
    </r>
    <r>
      <rPr>
        <vertAlign val="subscript"/>
        <sz val="10"/>
        <color theme="1"/>
        <rFont val="Calibri"/>
        <family val="2"/>
        <scheme val="minor"/>
      </rPr>
      <t>Amin</t>
    </r>
    <r>
      <rPr>
        <sz val="10"/>
        <color theme="1"/>
        <rFont val="Calibri"/>
        <family val="2"/>
        <scheme val="minor"/>
      </rPr>
      <t xml:space="preserve"> =</t>
    </r>
  </si>
  <si>
    <r>
      <t>V</t>
    </r>
    <r>
      <rPr>
        <vertAlign val="subscript"/>
        <sz val="10"/>
        <color theme="1"/>
        <rFont val="Calibri"/>
        <family val="2"/>
        <scheme val="minor"/>
      </rPr>
      <t>Cmin</t>
    </r>
    <r>
      <rPr>
        <sz val="10"/>
        <color theme="1"/>
        <rFont val="Calibri"/>
        <family val="2"/>
        <scheme val="minor"/>
      </rPr>
      <t xml:space="preserve"> =</t>
    </r>
  </si>
  <si>
    <r>
      <t>V</t>
    </r>
    <r>
      <rPr>
        <vertAlign val="subscript"/>
        <sz val="10"/>
        <color theme="1"/>
        <rFont val="Calibri"/>
        <family val="2"/>
        <scheme val="minor"/>
      </rPr>
      <t>Dmin</t>
    </r>
    <r>
      <rPr>
        <sz val="10"/>
        <color theme="1"/>
        <rFont val="Calibri"/>
        <family val="2"/>
        <scheme val="minor"/>
      </rPr>
      <t xml:space="preserve"> =</t>
    </r>
  </si>
  <si>
    <t>kts</t>
  </si>
  <si>
    <t>Determination of Minimum Design Speeds</t>
  </si>
  <si>
    <r>
      <t>V</t>
    </r>
    <r>
      <rPr>
        <vertAlign val="subscript"/>
        <sz val="10"/>
        <color theme="1"/>
        <rFont val="Calibri"/>
        <family val="2"/>
        <scheme val="minor"/>
      </rPr>
      <t>Fsel</t>
    </r>
    <r>
      <rPr>
        <sz val="10"/>
        <color theme="1"/>
        <rFont val="Calibri"/>
        <family val="2"/>
        <scheme val="minor"/>
      </rPr>
      <t xml:space="preserve"> =</t>
    </r>
  </si>
  <si>
    <r>
      <t>V</t>
    </r>
    <r>
      <rPr>
        <vertAlign val="subscript"/>
        <sz val="10"/>
        <color theme="1"/>
        <rFont val="Calibri"/>
        <family val="2"/>
        <scheme val="minor"/>
      </rPr>
      <t>Asel</t>
    </r>
    <r>
      <rPr>
        <sz val="10"/>
        <color theme="1"/>
        <rFont val="Calibri"/>
        <family val="2"/>
        <scheme val="minor"/>
      </rPr>
      <t xml:space="preserve"> =</t>
    </r>
  </si>
  <si>
    <r>
      <t>V</t>
    </r>
    <r>
      <rPr>
        <vertAlign val="subscript"/>
        <sz val="10"/>
        <color theme="1"/>
        <rFont val="Calibri"/>
        <family val="2"/>
        <scheme val="minor"/>
      </rPr>
      <t>Csel</t>
    </r>
    <r>
      <rPr>
        <sz val="10"/>
        <color theme="1"/>
        <rFont val="Calibri"/>
        <family val="2"/>
        <scheme val="minor"/>
      </rPr>
      <t xml:space="preserve"> =</t>
    </r>
  </si>
  <si>
    <r>
      <t>V</t>
    </r>
    <r>
      <rPr>
        <vertAlign val="subscript"/>
        <sz val="10"/>
        <color theme="1"/>
        <rFont val="Calibri"/>
        <family val="2"/>
        <scheme val="minor"/>
      </rPr>
      <t>Dsel</t>
    </r>
    <r>
      <rPr>
        <sz val="10"/>
        <color theme="1"/>
        <rFont val="Calibri"/>
        <family val="2"/>
        <scheme val="minor"/>
      </rPr>
      <t xml:space="preserve"> =</t>
    </r>
  </si>
  <si>
    <r>
      <t>V</t>
    </r>
    <r>
      <rPr>
        <vertAlign val="subscript"/>
        <sz val="10"/>
        <color theme="1"/>
        <rFont val="Calibri"/>
        <family val="2"/>
        <scheme val="minor"/>
      </rPr>
      <t>Csel</t>
    </r>
    <r>
      <rPr>
        <sz val="10"/>
        <color theme="1"/>
        <rFont val="Calibri"/>
        <family val="2"/>
        <scheme val="minor"/>
      </rPr>
      <t xml:space="preserve"> / V</t>
    </r>
    <r>
      <rPr>
        <vertAlign val="subscript"/>
        <sz val="10"/>
        <color theme="1"/>
        <rFont val="Calibri"/>
        <family val="2"/>
        <scheme val="minor"/>
      </rPr>
      <t>Cmin</t>
    </r>
    <r>
      <rPr>
        <sz val="10"/>
        <color theme="1"/>
        <rFont val="Calibri"/>
        <family val="2"/>
        <scheme val="minor"/>
      </rPr>
      <t xml:space="preserve"> =</t>
    </r>
  </si>
  <si>
    <t>Determination of n₃ Factor</t>
  </si>
  <si>
    <t>K =</t>
  </si>
  <si>
    <t>n₁ W/S =</t>
  </si>
  <si>
    <t>=</t>
  </si>
  <si>
    <t>lb/ft² (Wing Loading - Maximum)</t>
  </si>
  <si>
    <t>lb (Aircraft Minimum Weight)</t>
  </si>
  <si>
    <t>lb/ft² (Wing Loading - Minimum)</t>
  </si>
  <si>
    <t>Maximum Weight</t>
  </si>
  <si>
    <t>Minimum Weight</t>
  </si>
  <si>
    <r>
      <t>FAR 23 Figure A1 - Chart for Finding n</t>
    </r>
    <r>
      <rPr>
        <b/>
        <vertAlign val="subscript"/>
        <sz val="10"/>
        <color theme="1"/>
        <rFont val="Calibri"/>
        <family val="2"/>
        <scheme val="minor"/>
      </rPr>
      <t>3</t>
    </r>
    <r>
      <rPr>
        <b/>
        <sz val="10"/>
        <color theme="1"/>
        <rFont val="Calibri"/>
        <family val="2"/>
        <scheme val="minor"/>
      </rPr>
      <t xml:space="preserve"> Factor At Speed V</t>
    </r>
    <r>
      <rPr>
        <b/>
        <vertAlign val="subscript"/>
        <sz val="10"/>
        <color theme="1"/>
        <rFont val="Calibri"/>
        <family val="2"/>
        <scheme val="minor"/>
      </rPr>
      <t>c</t>
    </r>
  </si>
  <si>
    <t>n₃/n₁ =</t>
  </si>
  <si>
    <r>
      <t>FAR 23 Figure A2 - Chart for Finding n</t>
    </r>
    <r>
      <rPr>
        <b/>
        <vertAlign val="subscript"/>
        <sz val="10"/>
        <color theme="1"/>
        <rFont val="Calibri"/>
        <family val="2"/>
        <scheme val="minor"/>
      </rPr>
      <t>3</t>
    </r>
    <r>
      <rPr>
        <b/>
        <sz val="10"/>
        <color theme="1"/>
        <rFont val="Calibri"/>
        <family val="2"/>
        <scheme val="minor"/>
      </rPr>
      <t xml:space="preserve"> Factor At Speed V</t>
    </r>
    <r>
      <rPr>
        <b/>
        <vertAlign val="subscript"/>
        <sz val="10"/>
        <color theme="1"/>
        <rFont val="Calibri"/>
        <family val="2"/>
        <scheme val="minor"/>
      </rPr>
      <t>c</t>
    </r>
  </si>
  <si>
    <t>n₄/n₁ =</t>
  </si>
  <si>
    <t>n =</t>
  </si>
  <si>
    <t>V =</t>
  </si>
  <si>
    <t>Point C:</t>
  </si>
  <si>
    <t>Point G:</t>
  </si>
  <si>
    <t>Point F:</t>
  </si>
  <si>
    <t>Point E:</t>
  </si>
  <si>
    <t>Point D:</t>
  </si>
  <si>
    <t>Point A:</t>
  </si>
  <si>
    <t>Flight Envelope, Maximum Weight</t>
  </si>
  <si>
    <t>Flight Envelope, Minimum Weight</t>
  </si>
  <si>
    <t>Control Surface Loading</t>
  </si>
  <si>
    <t>FAR 23 Figure A5 - Average Limit Control Surface Loading</t>
  </si>
  <si>
    <t>Average limit Horizontal Tail Loading =</t>
  </si>
  <si>
    <t>Average limit Vertcal Tail Loading =</t>
  </si>
  <si>
    <t>lb/ft²</t>
  </si>
  <si>
    <t>Average limit Tab Loading =</t>
  </si>
  <si>
    <t>Average limit Flap Loading =</t>
  </si>
  <si>
    <t>Average limit Aileron Loading =</t>
  </si>
  <si>
    <t>(1)</t>
  </si>
  <si>
    <t>(2)</t>
  </si>
  <si>
    <t>(3)</t>
  </si>
  <si>
    <t>(4)</t>
  </si>
  <si>
    <t>(5)</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</si>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</sst>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0"/>
    <numFmt numFmtId="167" formatCode="0.0000"/>
  </numFmts>
  <fonts count="27"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vertAlign val="subscript"/>
      <sz val="10"/>
      <color theme="1"/>
      <name val="Calibri"/>
      <family val="2"/>
      <scheme val="minor"/>
    </font>
    <font>
      <sz val="10"/>
      <color rgb="FF0000FF"/>
      <name val="Calibri"/>
      <family val="2"/>
      <scheme val="minor"/>
    </font>
    <font>
      <sz val="9"/>
      <color rgb="FF595959"/>
      <name val="Arial"/>
      <family val="2"/>
    </font>
    <font>
      <b/>
      <vertAlign val="subscript"/>
      <sz val="10"/>
      <color theme="1"/>
      <name val="Calibri"/>
      <family val="2"/>
      <scheme val="minor"/>
    </font>
    <font>
      <sz val="10"/>
      <name val="Times New Roman"/>
      <family val="1"/>
    </font>
    <font>
      <b/>
      <sz val="10"/>
      <color rgb="FFFF0000"/>
      <name val="Times New Roman"/>
      <family val="1"/>
    </font>
    <font>
      <u/>
      <sz val="10"/>
      <color theme="10"/>
      <name val="Arial"/>
    </font>
    <font>
      <i/>
      <u/>
      <sz val="10"/>
      <color theme="10"/>
      <name val="Calibri"/>
      <family val="2"/>
      <scheme val="minor"/>
    </font>
    <font>
      <u/>
      <sz val="10"/>
      <color theme="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24" fillId="0" borderId="0" applyNumberFormat="0" applyFill="0" applyBorder="0" applyAlignment="0" applyProtection="0"/>
  </cellStyleXfs>
  <cellXfs count="152">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5" fillId="0" borderId="0" xfId="2" applyFont="1"/>
    <xf numFmtId="0" fontId="16" fillId="0" borderId="0" xfId="0" applyFont="1" applyProtection="1">
      <protection locked="0"/>
    </xf>
    <xf numFmtId="0" fontId="17" fillId="0" borderId="0" xfId="0" applyFont="1" applyFill="1" applyAlignment="1" applyProtection="1">
      <alignment horizontal="center"/>
      <protection locked="0"/>
    </xf>
    <xf numFmtId="0" fontId="16" fillId="0" borderId="0" xfId="2" applyFont="1"/>
    <xf numFmtId="0" fontId="17" fillId="0" borderId="0" xfId="2" applyFont="1"/>
    <xf numFmtId="0" fontId="16" fillId="0" borderId="0" xfId="1" applyFont="1"/>
    <xf numFmtId="0" fontId="16" fillId="0" borderId="0" xfId="2" applyFont="1" applyAlignment="1">
      <alignment horizontal="right"/>
    </xf>
    <xf numFmtId="0" fontId="16" fillId="0" borderId="0" xfId="0" applyFont="1"/>
    <xf numFmtId="2" fontId="16" fillId="0" borderId="0" xfId="2" applyNumberFormat="1" applyFont="1"/>
    <xf numFmtId="0" fontId="16" fillId="0" borderId="0" xfId="2" applyFont="1" applyBorder="1" applyAlignment="1"/>
    <xf numFmtId="0" fontId="16" fillId="0" borderId="0" xfId="0" applyFont="1" applyAlignment="1">
      <alignment horizontal="right"/>
    </xf>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165" fontId="16" fillId="0" borderId="0" xfId="2" applyNumberFormat="1" applyFont="1" applyAlignment="1" applyProtection="1">
      <alignment horizontal="center"/>
    </xf>
    <xf numFmtId="1" fontId="16" fillId="0" borderId="0" xfId="2" applyNumberFormat="1" applyFont="1" applyAlignment="1">
      <alignment horizontal="center"/>
    </xf>
    <xf numFmtId="0" fontId="16" fillId="0" borderId="0" xfId="2" applyFont="1" applyAlignment="1"/>
    <xf numFmtId="165" fontId="16" fillId="0" borderId="0" xfId="2" applyNumberFormat="1" applyFont="1" applyAlignment="1">
      <alignment horizontal="center"/>
    </xf>
    <xf numFmtId="0" fontId="16" fillId="0" borderId="0" xfId="2" applyFont="1" applyAlignment="1">
      <alignment horizontal="left"/>
    </xf>
    <xf numFmtId="165" fontId="16" fillId="0" borderId="0" xfId="2" applyNumberFormat="1" applyFont="1" applyFill="1" applyAlignment="1">
      <alignment horizontal="center"/>
    </xf>
    <xf numFmtId="1" fontId="16" fillId="0" borderId="0" xfId="0" applyNumberFormat="1" applyFont="1"/>
    <xf numFmtId="166" fontId="16" fillId="0" borderId="0" xfId="0" applyNumberFormat="1" applyFont="1" applyAlignment="1">
      <alignment horizontal="right"/>
    </xf>
    <xf numFmtId="0" fontId="16" fillId="0" borderId="0" xfId="0" applyFont="1" applyAlignment="1">
      <alignment vertical="top"/>
    </xf>
    <xf numFmtId="167" fontId="16" fillId="0" borderId="0" xfId="0" applyNumberFormat="1" applyFont="1"/>
    <xf numFmtId="165" fontId="16" fillId="0" borderId="0" xfId="2" applyNumberFormat="1" applyFont="1"/>
    <xf numFmtId="165" fontId="16" fillId="0" borderId="0" xfId="0" applyNumberFormat="1" applyFont="1"/>
    <xf numFmtId="0" fontId="16" fillId="0" borderId="0" xfId="2" applyFont="1" applyAlignment="1" applyProtection="1">
      <alignment horizontal="center"/>
    </xf>
    <xf numFmtId="165" fontId="16" fillId="0" borderId="0" xfId="0" applyNumberFormat="1" applyFont="1" applyAlignment="1">
      <alignment vertical="top"/>
    </xf>
    <xf numFmtId="165" fontId="16" fillId="0" borderId="0" xfId="2" quotePrefix="1" applyNumberFormat="1" applyFont="1" applyAlignment="1">
      <alignment horizontal="right"/>
    </xf>
    <xf numFmtId="0" fontId="17" fillId="0" borderId="0" xfId="2" applyFont="1" applyAlignment="1">
      <alignment horizontal="right"/>
    </xf>
    <xf numFmtId="164" fontId="16" fillId="0" borderId="0" xfId="2" applyNumberFormat="1" applyFont="1" applyAlignment="1">
      <alignment horizontal="left"/>
    </xf>
    <xf numFmtId="0" fontId="19" fillId="0" borderId="0" xfId="2" applyFont="1" applyAlignment="1">
      <alignment horizontal="right"/>
    </xf>
    <xf numFmtId="0" fontId="16" fillId="0" borderId="0" xfId="2" applyFont="1" applyBorder="1" applyAlignment="1">
      <alignment horizontal="right"/>
    </xf>
    <xf numFmtId="165" fontId="16" fillId="0" borderId="0" xfId="2" applyNumberFormat="1" applyFont="1" applyAlignment="1">
      <alignment horizontal="right"/>
    </xf>
    <xf numFmtId="165" fontId="19" fillId="0" borderId="0" xfId="2" applyNumberFormat="1" applyFont="1" applyAlignment="1">
      <alignment horizontal="right"/>
    </xf>
    <xf numFmtId="2" fontId="19" fillId="0" borderId="0" xfId="2" applyNumberFormat="1" applyFont="1" applyAlignment="1">
      <alignment horizontal="right"/>
    </xf>
    <xf numFmtId="0" fontId="19" fillId="0" borderId="0" xfId="0" applyFont="1"/>
    <xf numFmtId="0" fontId="3" fillId="0" borderId="0" xfId="0" applyFont="1" applyAlignment="1">
      <alignment horizontal="left"/>
    </xf>
    <xf numFmtId="1" fontId="16" fillId="0" borderId="0" xfId="0" applyNumberFormat="1" applyFont="1" applyAlignment="1">
      <alignment horizontal="right"/>
    </xf>
    <xf numFmtId="165" fontId="16" fillId="0" borderId="0" xfId="2" applyNumberFormat="1" applyFont="1" applyFill="1" applyAlignment="1">
      <alignment horizontal="left"/>
    </xf>
    <xf numFmtId="165" fontId="16" fillId="0" borderId="0" xfId="0" applyNumberFormat="1" applyFont="1" applyAlignment="1">
      <alignment horizontal="right"/>
    </xf>
    <xf numFmtId="165" fontId="19" fillId="0" borderId="0" xfId="0" applyNumberFormat="1" applyFont="1" applyAlignment="1">
      <alignment horizontal="right"/>
    </xf>
    <xf numFmtId="2" fontId="16" fillId="0" borderId="0" xfId="2" applyNumberFormat="1" applyFont="1" applyAlignment="1">
      <alignment horizontal="left"/>
    </xf>
    <xf numFmtId="0" fontId="17" fillId="0" borderId="0" xfId="1" applyFont="1"/>
    <xf numFmtId="2" fontId="16" fillId="0" borderId="0" xfId="0" applyNumberFormat="1" applyFont="1" applyAlignment="1">
      <alignment horizontal="left"/>
    </xf>
    <xf numFmtId="2" fontId="3" fillId="0" borderId="0" xfId="2" applyNumberFormat="1" applyFont="1" applyAlignment="1">
      <alignment horizontal="right"/>
    </xf>
    <xf numFmtId="2" fontId="20" fillId="0" borderId="0" xfId="0" applyNumberFormat="1" applyFont="1" applyAlignment="1">
      <alignment horizontal="center" vertical="center" readingOrder="1"/>
    </xf>
    <xf numFmtId="0" fontId="3" fillId="0" borderId="0" xfId="2" applyFont="1" applyBorder="1" applyAlignment="1">
      <alignment horizontal="left" vertical="top" wrapText="1"/>
    </xf>
    <xf numFmtId="0" fontId="11" fillId="0" borderId="0" xfId="4" applyBorder="1" applyAlignment="1" applyProtection="1">
      <alignment horizontal="center"/>
    </xf>
    <xf numFmtId="0" fontId="17" fillId="0" borderId="0" xfId="2" applyFont="1" applyBorder="1" applyAlignment="1"/>
    <xf numFmtId="165" fontId="5" fillId="0" borderId="0" xfId="0" applyNumberFormat="1" applyFont="1" applyBorder="1" applyAlignment="1">
      <alignment horizontal="center"/>
    </xf>
    <xf numFmtId="165" fontId="5" fillId="0" borderId="0" xfId="2" applyNumberFormat="1" applyFont="1" applyBorder="1" applyAlignment="1">
      <alignment horizontal="center"/>
    </xf>
    <xf numFmtId="165" fontId="5" fillId="0" borderId="0" xfId="2" applyNumberFormat="1" applyFont="1" applyAlignment="1">
      <alignment horizontal="center"/>
    </xf>
    <xf numFmtId="165" fontId="5" fillId="0" borderId="0" xfId="1" applyNumberFormat="1" applyFont="1" applyAlignment="1">
      <alignment horizontal="center"/>
    </xf>
    <xf numFmtId="2" fontId="16" fillId="0" borderId="0" xfId="0" applyNumberFormat="1" applyFont="1" applyAlignment="1">
      <alignment vertical="top"/>
    </xf>
    <xf numFmtId="2" fontId="16" fillId="0" borderId="0" xfId="2" quotePrefix="1" applyNumberFormat="1" applyFont="1" applyAlignment="1">
      <alignment horizontal="right"/>
    </xf>
    <xf numFmtId="0" fontId="22" fillId="0" borderId="0" xfId="1" applyFont="1"/>
    <xf numFmtId="0" fontId="22" fillId="0" borderId="0" xfId="1" quotePrefix="1" applyFont="1"/>
    <xf numFmtId="165" fontId="22" fillId="0" borderId="0" xfId="1" applyNumberFormat="1" applyFont="1" applyAlignment="1">
      <alignment horizontal="left"/>
    </xf>
    <xf numFmtId="0" fontId="22" fillId="0" borderId="0" xfId="1" applyFont="1" applyAlignment="1">
      <alignment horizontal="right"/>
    </xf>
    <xf numFmtId="2" fontId="22" fillId="0" borderId="0" xfId="1" applyNumberFormat="1" applyFont="1" applyAlignment="1">
      <alignment horizontal="right"/>
    </xf>
    <xf numFmtId="165" fontId="22" fillId="0" borderId="0" xfId="1" applyNumberFormat="1" applyFont="1"/>
    <xf numFmtId="2" fontId="22" fillId="0" borderId="0" xfId="1" applyNumberFormat="1" applyFont="1"/>
    <xf numFmtId="2" fontId="23" fillId="0" borderId="0" xfId="1" applyNumberFormat="1" applyFont="1"/>
    <xf numFmtId="0" fontId="3" fillId="0" borderId="0" xfId="0" applyFont="1" applyAlignment="1">
      <alignment horizontal="right"/>
    </xf>
    <xf numFmtId="2" fontId="16" fillId="0" borderId="0" xfId="0" applyNumberFormat="1" applyFont="1" applyAlignment="1">
      <alignment horizontal="right"/>
    </xf>
    <xf numFmtId="0" fontId="17" fillId="0" borderId="0" xfId="2" quotePrefix="1" applyFont="1" applyAlignment="1">
      <alignment horizontal="right"/>
    </xf>
    <xf numFmtId="0" fontId="17" fillId="0" borderId="0" xfId="0" quotePrefix="1" applyFont="1" applyAlignment="1">
      <alignment horizontal="right"/>
    </xf>
    <xf numFmtId="0" fontId="5" fillId="0" borderId="0" xfId="0" quotePrefix="1" applyFont="1" applyAlignment="1">
      <alignment horizontal="right"/>
    </xf>
    <xf numFmtId="0" fontId="5" fillId="0" borderId="0" xfId="0" applyFont="1" applyAlignment="1">
      <alignment horizontal="right"/>
    </xf>
    <xf numFmtId="0" fontId="17" fillId="0" borderId="0" xfId="0" applyFont="1" applyAlignment="1">
      <alignment horizontal="right"/>
    </xf>
    <xf numFmtId="1" fontId="17" fillId="0" borderId="0" xfId="0" quotePrefix="1" applyNumberFormat="1" applyFont="1" applyAlignment="1">
      <alignment horizontal="right"/>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5" fillId="0" borderId="0" xfId="7" applyFont="1" applyBorder="1" applyAlignment="1" applyProtection="1">
      <alignment horizontal="center"/>
      <protection locked="0"/>
    </xf>
    <xf numFmtId="0" fontId="26" fillId="0" borderId="0" xfId="7" applyFont="1" applyBorder="1" applyAlignment="1" applyProtection="1">
      <alignment horizontal="center"/>
    </xf>
    <xf numFmtId="0" fontId="24" fillId="0" borderId="0" xfId="7" applyBorder="1" applyAlignment="1">
      <alignment horizontal="center"/>
    </xf>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3161978822615E-2"/>
          <c:y val="4.4770044770044773E-2"/>
          <c:w val="0.86843269753111951"/>
          <c:h val="0.82125368169671653"/>
        </c:manualLayout>
      </c:layout>
      <c:scatterChart>
        <c:scatterStyle val="lineMarker"/>
        <c:varyColors val="0"/>
        <c:ser>
          <c:idx val="0"/>
          <c:order val="0"/>
          <c:spPr>
            <a:ln w="19050" cap="rnd">
              <a:solidFill>
                <a:schemeClr val="tx1"/>
              </a:solidFill>
              <a:round/>
            </a:ln>
            <a:effectLst/>
          </c:spPr>
          <c:marker>
            <c:symbol val="none"/>
          </c:marker>
          <c:xVal>
            <c:numRef>
              <c:f>Analysis!$W$77:$W$99</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Analysis!$X$77:$X$99</c:f>
              <c:numCache>
                <c:formatCode>0.00</c:formatCode>
                <c:ptCount val="23"/>
                <c:pt idx="1">
                  <c:v>1.9177454023549534</c:v>
                </c:pt>
                <c:pt idx="2">
                  <c:v>1.7869156923480813</c:v>
                </c:pt>
                <c:pt idx="3">
                  <c:v>1.6950547256132058</c:v>
                </c:pt>
                <c:pt idx="4">
                  <c:v>1.6251078466709674</c:v>
                </c:pt>
                <c:pt idx="5">
                  <c:v>1.5690852762615055</c:v>
                </c:pt>
                <c:pt idx="6">
                  <c:v>1.5226338720264994</c:v>
                </c:pt>
                <c:pt idx="7">
                  <c:v>1.4831339545270961</c:v>
                </c:pt>
                <c:pt idx="8">
                  <c:v>1.41875890109488</c:v>
                </c:pt>
                <c:pt idx="9">
                  <c:v>1.3677516561618366</c:v>
                </c:pt>
                <c:pt idx="10">
                  <c:v>1.3257788045080106</c:v>
                </c:pt>
                <c:pt idx="11">
                  <c:v>1.2902881946679121</c:v>
                </c:pt>
                <c:pt idx="12">
                  <c:v>1.2596569555492649</c:v>
                </c:pt>
                <c:pt idx="13">
                  <c:v>1.2327926636507454</c:v>
                </c:pt>
                <c:pt idx="14">
                  <c:v>1.2089268499329702</c:v>
                </c:pt>
                <c:pt idx="15">
                  <c:v>1.1874996063668501</c:v>
                </c:pt>
                <c:pt idx="16">
                  <c:v>1.1680911096525677</c:v>
                </c:pt>
                <c:pt idx="17">
                  <c:v>1.1380540497724598</c:v>
                </c:pt>
                <c:pt idx="18">
                  <c:v>1.111985034970159</c:v>
                </c:pt>
                <c:pt idx="19">
                  <c:v>1.0890203367482558</c:v>
                </c:pt>
                <c:pt idx="20">
                  <c:v>1.0577832282237565</c:v>
                </c:pt>
                <c:pt idx="21">
                  <c:v>1.0333624923345925</c:v>
                </c:pt>
                <c:pt idx="22">
                  <c:v>1.0118704152719968</c:v>
                </c:pt>
              </c:numCache>
            </c:numRef>
          </c:yVal>
          <c:smooth val="1"/>
          <c:extLst>
            <c:ext xmlns:c16="http://schemas.microsoft.com/office/drawing/2014/chart" uri="{C3380CC4-5D6E-409C-BE32-E72D297353CC}">
              <c16:uniqueId val="{00000000-B59B-4209-9BA4-E65F0C1F7774}"/>
            </c:ext>
          </c:extLst>
        </c:ser>
        <c:ser>
          <c:idx val="1"/>
          <c:order val="1"/>
          <c:spPr>
            <a:ln w="19050" cap="rnd">
              <a:solidFill>
                <a:schemeClr val="tx1"/>
              </a:solidFill>
              <a:round/>
            </a:ln>
            <a:effectLst/>
          </c:spPr>
          <c:marker>
            <c:symbol val="none"/>
          </c:marker>
          <c:xVal>
            <c:numRef>
              <c:f>Analysis!$W$78:$W$99</c:f>
              <c:numCache>
                <c:formatCode>0.0</c:formatCode>
                <c:ptCount val="22"/>
                <c:pt idx="0">
                  <c:v>5</c:v>
                </c:pt>
                <c:pt idx="1">
                  <c:v>7</c:v>
                </c:pt>
                <c:pt idx="2">
                  <c:v>9</c:v>
                </c:pt>
                <c:pt idx="3">
                  <c:v>11</c:v>
                </c:pt>
                <c:pt idx="4">
                  <c:v>13</c:v>
                </c:pt>
                <c:pt idx="5">
                  <c:v>15</c:v>
                </c:pt>
                <c:pt idx="6">
                  <c:v>17</c:v>
                </c:pt>
                <c:pt idx="7">
                  <c:v>21</c:v>
                </c:pt>
                <c:pt idx="8">
                  <c:v>25</c:v>
                </c:pt>
                <c:pt idx="9">
                  <c:v>29</c:v>
                </c:pt>
                <c:pt idx="10">
                  <c:v>33</c:v>
                </c:pt>
                <c:pt idx="11">
                  <c:v>37</c:v>
                </c:pt>
                <c:pt idx="12">
                  <c:v>41</c:v>
                </c:pt>
                <c:pt idx="13">
                  <c:v>45</c:v>
                </c:pt>
                <c:pt idx="14">
                  <c:v>49</c:v>
                </c:pt>
                <c:pt idx="15">
                  <c:v>53</c:v>
                </c:pt>
                <c:pt idx="16">
                  <c:v>60</c:v>
                </c:pt>
                <c:pt idx="17">
                  <c:v>67</c:v>
                </c:pt>
                <c:pt idx="18">
                  <c:v>74</c:v>
                </c:pt>
                <c:pt idx="19">
                  <c:v>85</c:v>
                </c:pt>
                <c:pt idx="20">
                  <c:v>95</c:v>
                </c:pt>
                <c:pt idx="21">
                  <c:v>105</c:v>
                </c:pt>
              </c:numCache>
            </c:numRef>
          </c:xVal>
          <c:yVal>
            <c:numRef>
              <c:f>Analysis!$Y$78:$Y$99</c:f>
              <c:numCache>
                <c:formatCode>0.00</c:formatCode>
                <c:ptCount val="22"/>
                <c:pt idx="0">
                  <c:v>1.7930359227956436</c:v>
                </c:pt>
                <c:pt idx="1">
                  <c:v>1.6712762096790972</c:v>
                </c:pt>
                <c:pt idx="2">
                  <c:v>1.5857584599172345</c:v>
                </c:pt>
                <c:pt idx="3">
                  <c:v>1.5206268347464533</c:v>
                </c:pt>
                <c:pt idx="4">
                  <c:v>1.4684513432006499</c:v>
                </c:pt>
                <c:pt idx="5">
                  <c:v>1.4251830492904716</c:v>
                </c:pt>
                <c:pt idx="6">
                  <c:v>1.3883849487571391</c:v>
                </c:pt>
                <c:pt idx="7">
                  <c:v>1.328403125913582</c:v>
                </c:pt>
                <c:pt idx="8">
                  <c:v>1.2808676575440741</c:v>
                </c:pt>
                <c:pt idx="9">
                  <c:v>1.2417453430379408</c:v>
                </c:pt>
                <c:pt idx="10">
                  <c:v>1.2086604410010284</c:v>
                </c:pt>
                <c:pt idx="11">
                  <c:v>1.1801020401013891</c:v>
                </c:pt>
                <c:pt idx="12">
                  <c:v>1.1550529547630946</c:v>
                </c:pt>
                <c:pt idx="13">
                  <c:v>1.1327975631508758</c:v>
                </c:pt>
                <c:pt idx="14">
                  <c:v>1.1128144099758284</c:v>
                </c:pt>
                <c:pt idx="15">
                  <c:v>1.0947124687947876</c:v>
                </c:pt>
                <c:pt idx="16">
                  <c:v>1.066694633435104</c:v>
                </c:pt>
                <c:pt idx="17">
                  <c:v>1.0423752421082668</c:v>
                </c:pt>
                <c:pt idx="18">
                  <c:v>1.0209495735259089</c:v>
                </c:pt>
                <c:pt idx="19">
                  <c:v>0.99180242541447805</c:v>
                </c:pt>
                <c:pt idx="20">
                  <c:v>0.96901274232772328</c:v>
                </c:pt>
                <c:pt idx="21">
                  <c:v>0.94895399391118629</c:v>
                </c:pt>
              </c:numCache>
            </c:numRef>
          </c:yVal>
          <c:smooth val="1"/>
          <c:extLst>
            <c:ext xmlns:c16="http://schemas.microsoft.com/office/drawing/2014/chart" uri="{C3380CC4-5D6E-409C-BE32-E72D297353CC}">
              <c16:uniqueId val="{00000001-B59B-4209-9BA4-E65F0C1F7774}"/>
            </c:ext>
          </c:extLst>
        </c:ser>
        <c:ser>
          <c:idx val="2"/>
          <c:order val="2"/>
          <c:spPr>
            <a:ln w="19050" cap="rnd">
              <a:solidFill>
                <a:schemeClr val="tx1"/>
              </a:solidFill>
              <a:round/>
            </a:ln>
            <a:effectLst/>
          </c:spPr>
          <c:marker>
            <c:symbol val="none"/>
          </c:marker>
          <c:xVal>
            <c:numRef>
              <c:f>Analysis!$W$77:$W$99</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Analysis!$Z$77:$Z$99</c:f>
              <c:numCache>
                <c:formatCode>0.00</c:formatCode>
                <c:ptCount val="23"/>
                <c:pt idx="1">
                  <c:v>1.7001695204197738</c:v>
                </c:pt>
                <c:pt idx="2">
                  <c:v>1.5847160872654389</c:v>
                </c:pt>
                <c:pt idx="3">
                  <c:v>1.5036275436665412</c:v>
                </c:pt>
                <c:pt idx="4">
                  <c:v>1.4418692696002227</c:v>
                </c:pt>
                <c:pt idx="5">
                  <c:v>1.3923960943496203</c:v>
                </c:pt>
                <c:pt idx="6">
                  <c:v>1.3513687877734353</c:v>
                </c:pt>
                <c:pt idx="7">
                  <c:v>1.3164765649569687</c:v>
                </c:pt>
                <c:pt idx="8">
                  <c:v>1.2596013703881774</c:v>
                </c:pt>
                <c:pt idx="9">
                  <c:v>1.2145278983884049</c:v>
                </c:pt>
                <c:pt idx="10">
                  <c:v>1.1774318392152587</c:v>
                </c:pt>
                <c:pt idx="11">
                  <c:v>1.1460604978416127</c:v>
                </c:pt>
                <c:pt idx="12">
                  <c:v>1.1189812173072933</c:v>
                </c:pt>
                <c:pt idx="13">
                  <c:v>1.0952294949546475</c:v>
                </c:pt>
                <c:pt idx="14">
                  <c:v>1.0741267730275237</c:v>
                </c:pt>
                <c:pt idx="15">
                  <c:v>1.0551786038814628</c:v>
                </c:pt>
                <c:pt idx="16">
                  <c:v>1.0380142134388821</c:v>
                </c:pt>
                <c:pt idx="17">
                  <c:v>1.0114475010261146</c:v>
                </c:pt>
                <c:pt idx="18">
                  <c:v>0.98838767976799802</c:v>
                </c:pt>
                <c:pt idx="19">
                  <c:v>0.96807170716799329</c:v>
                </c:pt>
                <c:pt idx="20">
                  <c:v>0.94043417230536175</c:v>
                </c:pt>
                <c:pt idx="21">
                  <c:v>0.91882483137051052</c:v>
                </c:pt>
                <c:pt idx="22">
                  <c:v>0.89980498227435191</c:v>
                </c:pt>
              </c:numCache>
            </c:numRef>
          </c:yVal>
          <c:smooth val="1"/>
          <c:extLst>
            <c:ext xmlns:c16="http://schemas.microsoft.com/office/drawing/2014/chart" uri="{C3380CC4-5D6E-409C-BE32-E72D297353CC}">
              <c16:uniqueId val="{00000000-3A9D-47D4-842D-ABEC62B2CCE4}"/>
            </c:ext>
          </c:extLst>
        </c:ser>
        <c:ser>
          <c:idx val="3"/>
          <c:order val="3"/>
          <c:spPr>
            <a:ln w="19050" cap="rnd">
              <a:solidFill>
                <a:schemeClr val="tx1"/>
              </a:solidFill>
              <a:round/>
            </a:ln>
            <a:effectLst/>
          </c:spPr>
          <c:marker>
            <c:symbol val="none"/>
          </c:marker>
          <c:xVal>
            <c:numRef>
              <c:f>Analysis!$W$77:$W$99</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Analysis!$AA$77:$AA$99</c:f>
              <c:numCache>
                <c:formatCode>0.00</c:formatCode>
                <c:ptCount val="23"/>
                <c:pt idx="1">
                  <c:v>1.5787288403897899</c:v>
                </c:pt>
                <c:pt idx="2">
                  <c:v>1.4715220810321934</c:v>
                </c:pt>
                <c:pt idx="3">
                  <c:v>1.3962255762617883</c:v>
                </c:pt>
                <c:pt idx="4">
                  <c:v>1.3388786074859211</c:v>
                </c:pt>
                <c:pt idx="5">
                  <c:v>1.2929392304675045</c:v>
                </c:pt>
                <c:pt idx="6">
                  <c:v>1.2548424457896183</c:v>
                </c:pt>
                <c:pt idx="7">
                  <c:v>1.2224425246028996</c:v>
                </c:pt>
                <c:pt idx="8">
                  <c:v>1.1696298439318791</c:v>
                </c:pt>
                <c:pt idx="9">
                  <c:v>1.1277759056463761</c:v>
                </c:pt>
                <c:pt idx="10">
                  <c:v>1.0933295649855974</c:v>
                </c:pt>
                <c:pt idx="11">
                  <c:v>1.0641990337100689</c:v>
                </c:pt>
                <c:pt idx="12">
                  <c:v>1.0390539874996296</c:v>
                </c:pt>
                <c:pt idx="13">
                  <c:v>1.0169988167436013</c:v>
                </c:pt>
                <c:pt idx="14">
                  <c:v>0.99740343209698634</c:v>
                </c:pt>
                <c:pt idx="15">
                  <c:v>0.97980870360421557</c:v>
                </c:pt>
                <c:pt idx="16">
                  <c:v>0.9638703410503906</c:v>
                </c:pt>
                <c:pt idx="17">
                  <c:v>0.93920125095282081</c:v>
                </c:pt>
                <c:pt idx="18">
                  <c:v>0.91778855978456964</c:v>
                </c:pt>
                <c:pt idx="19">
                  <c:v>0.89892372808456522</c:v>
                </c:pt>
                <c:pt idx="20">
                  <c:v>0.8732603028549788</c:v>
                </c:pt>
                <c:pt idx="21">
                  <c:v>0.85319448627261696</c:v>
                </c:pt>
                <c:pt idx="22">
                  <c:v>0.83553319782618396</c:v>
                </c:pt>
              </c:numCache>
            </c:numRef>
          </c:yVal>
          <c:smooth val="1"/>
          <c:extLst>
            <c:ext xmlns:c16="http://schemas.microsoft.com/office/drawing/2014/chart" uri="{C3380CC4-5D6E-409C-BE32-E72D297353CC}">
              <c16:uniqueId val="{00000001-3A9D-47D4-842D-ABEC62B2CCE4}"/>
            </c:ext>
          </c:extLst>
        </c:ser>
        <c:ser>
          <c:idx val="4"/>
          <c:order val="4"/>
          <c:spPr>
            <a:ln w="19050" cap="rnd">
              <a:solidFill>
                <a:schemeClr val="tx1"/>
              </a:solidFill>
              <a:round/>
            </a:ln>
            <a:effectLst/>
          </c:spPr>
          <c:marker>
            <c:symbol val="none"/>
          </c:marker>
          <c:xVal>
            <c:numRef>
              <c:f>Analysis!$W$77:$W$99</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Analysis!$AB$77:$AB$99</c:f>
              <c:numCache>
                <c:formatCode>0.00</c:formatCode>
                <c:ptCount val="23"/>
                <c:pt idx="1">
                  <c:v>1.48586243801392</c:v>
                </c:pt>
                <c:pt idx="2">
                  <c:v>1.3849619586185349</c:v>
                </c:pt>
                <c:pt idx="3">
                  <c:v>1.314094660011095</c:v>
                </c:pt>
                <c:pt idx="4">
                  <c:v>1.2601210423396905</c:v>
                </c:pt>
                <c:pt idx="5">
                  <c:v>1.2168839816164749</c:v>
                </c:pt>
                <c:pt idx="6">
                  <c:v>1.181028184272582</c:v>
                </c:pt>
                <c:pt idx="7">
                  <c:v>1.150534140802729</c:v>
                </c:pt>
                <c:pt idx="8">
                  <c:v>1.1008280884064745</c:v>
                </c:pt>
                <c:pt idx="9">
                  <c:v>1.0614361464907069</c:v>
                </c:pt>
                <c:pt idx="10">
                  <c:v>1.0290160611629153</c:v>
                </c:pt>
                <c:pt idx="11">
                  <c:v>1.0015990905506531</c:v>
                </c:pt>
                <c:pt idx="12">
                  <c:v>0.97793316470553371</c:v>
                </c:pt>
                <c:pt idx="13">
                  <c:v>0.9571753569351541</c:v>
                </c:pt>
                <c:pt idx="14">
                  <c:v>0.93873264197363415</c:v>
                </c:pt>
                <c:pt idx="15">
                  <c:v>0.92217289750984999</c:v>
                </c:pt>
                <c:pt idx="16">
                  <c:v>0.90717208569448538</c:v>
                </c:pt>
                <c:pt idx="17">
                  <c:v>0.88395411854383132</c:v>
                </c:pt>
                <c:pt idx="18">
                  <c:v>0.86380099744430083</c:v>
                </c:pt>
                <c:pt idx="19">
                  <c:v>0.84604586172664964</c:v>
                </c:pt>
                <c:pt idx="20">
                  <c:v>0.82189204974586239</c:v>
                </c:pt>
                <c:pt idx="21">
                  <c:v>0.8030065753154042</c:v>
                </c:pt>
                <c:pt idx="22">
                  <c:v>0.78638418618934969</c:v>
                </c:pt>
              </c:numCache>
            </c:numRef>
          </c:yVal>
          <c:smooth val="1"/>
          <c:extLst>
            <c:ext xmlns:c16="http://schemas.microsoft.com/office/drawing/2014/chart" uri="{C3380CC4-5D6E-409C-BE32-E72D297353CC}">
              <c16:uniqueId val="{00000002-3A9D-47D4-842D-ABEC62B2CCE4}"/>
            </c:ext>
          </c:extLst>
        </c:ser>
        <c:ser>
          <c:idx val="5"/>
          <c:order val="5"/>
          <c:spPr>
            <a:ln w="19050" cap="rnd">
              <a:solidFill>
                <a:schemeClr val="tx1"/>
              </a:solidFill>
              <a:round/>
            </a:ln>
            <a:effectLst/>
          </c:spPr>
          <c:marker>
            <c:symbol val="none"/>
          </c:marker>
          <c:xVal>
            <c:numRef>
              <c:f>Analysis!$W$77:$W$99</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Analysis!$AC$77:$AC$99</c:f>
              <c:numCache>
                <c:formatCode>0.00</c:formatCode>
                <c:ptCount val="23"/>
                <c:pt idx="1">
                  <c:v>1.3715653273974644</c:v>
                </c:pt>
                <c:pt idx="2">
                  <c:v>1.2784264233401861</c:v>
                </c:pt>
                <c:pt idx="3">
                  <c:v>1.2130104553948566</c:v>
                </c:pt>
                <c:pt idx="4">
                  <c:v>1.1631886544674066</c:v>
                </c:pt>
                <c:pt idx="5">
                  <c:v>1.1232775214921307</c:v>
                </c:pt>
                <c:pt idx="6">
                  <c:v>1.0901798624054604</c:v>
                </c:pt>
                <c:pt idx="7">
                  <c:v>1.0620315145871344</c:v>
                </c:pt>
                <c:pt idx="8">
                  <c:v>1.0161490046828994</c:v>
                </c:pt>
                <c:pt idx="9">
                  <c:v>0.97978721214526787</c:v>
                </c:pt>
                <c:pt idx="10">
                  <c:v>0.9498609795349986</c:v>
                </c:pt>
                <c:pt idx="11">
                  <c:v>0.92455300666214124</c:v>
                </c:pt>
                <c:pt idx="12">
                  <c:v>0.90270753665126191</c:v>
                </c:pt>
                <c:pt idx="13">
                  <c:v>0.8835464833247576</c:v>
                </c:pt>
                <c:pt idx="14">
                  <c:v>0.8665224387448931</c:v>
                </c:pt>
                <c:pt idx="15">
                  <c:v>0.85123652077832301</c:v>
                </c:pt>
                <c:pt idx="16">
                  <c:v>0.83738961756414021</c:v>
                </c:pt>
                <c:pt idx="17">
                  <c:v>0.81595764788661351</c:v>
                </c:pt>
                <c:pt idx="18">
                  <c:v>0.79735476687166229</c:v>
                </c:pt>
                <c:pt idx="19">
                  <c:v>0.78096541082459969</c:v>
                </c:pt>
                <c:pt idx="20">
                  <c:v>0.75866958438079601</c:v>
                </c:pt>
                <c:pt idx="21">
                  <c:v>0.74123683875268076</c:v>
                </c:pt>
                <c:pt idx="22">
                  <c:v>0.72589309494401499</c:v>
                </c:pt>
              </c:numCache>
            </c:numRef>
          </c:yVal>
          <c:smooth val="1"/>
          <c:extLst>
            <c:ext xmlns:c16="http://schemas.microsoft.com/office/drawing/2014/chart" uri="{C3380CC4-5D6E-409C-BE32-E72D297353CC}">
              <c16:uniqueId val="{00000003-3A9D-47D4-842D-ABEC62B2CCE4}"/>
            </c:ext>
          </c:extLst>
        </c:ser>
        <c:ser>
          <c:idx val="6"/>
          <c:order val="6"/>
          <c:spPr>
            <a:ln w="31750" cap="rnd">
              <a:solidFill>
                <a:schemeClr val="tx1"/>
              </a:solidFill>
              <a:round/>
            </a:ln>
            <a:effectLst/>
          </c:spPr>
          <c:marker>
            <c:symbol val="none"/>
          </c:marker>
          <c:xVal>
            <c:numRef>
              <c:f>Analysis!$W$77:$W$99</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Analysis!$AD$77:$AD$99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yVal>
          <c:smooth val="0"/>
          <c:extLst>
            <c:ext xmlns:c16="http://schemas.microsoft.com/office/drawing/2014/chart" uri="{C3380CC4-5D6E-409C-BE32-E72D297353CC}">
              <c16:uniqueId val="{00000004-3A9D-47D4-842D-ABEC62B2CCE4}"/>
            </c:ext>
          </c:extLst>
        </c:ser>
        <c:ser>
          <c:idx val="7"/>
          <c:order val="7"/>
          <c:spPr>
            <a:ln w="22225" cap="rnd">
              <a:solidFill>
                <a:srgbClr val="FF0000"/>
              </a:solidFill>
              <a:round/>
            </a:ln>
            <a:effectLst/>
          </c:spPr>
          <c:marker>
            <c:symbol val="none"/>
          </c:marker>
          <c:xVal>
            <c:numRef>
              <c:f>Analysis!$AF$88:$AF$94</c:f>
              <c:numCache>
                <c:formatCode>0.000</c:formatCode>
                <c:ptCount val="7"/>
                <c:pt idx="0">
                  <c:v>48.223350253807105</c:v>
                </c:pt>
                <c:pt idx="1">
                  <c:v>48.223350253807105</c:v>
                </c:pt>
                <c:pt idx="2">
                  <c:v>0</c:v>
                </c:pt>
                <c:pt idx="4">
                  <c:v>32.791878172588831</c:v>
                </c:pt>
                <c:pt idx="5">
                  <c:v>32.791878172588831</c:v>
                </c:pt>
                <c:pt idx="6">
                  <c:v>0</c:v>
                </c:pt>
              </c:numCache>
            </c:numRef>
          </c:xVal>
          <c:yVal>
            <c:numRef>
              <c:f>Analysis!$AG$88:$AG$94</c:f>
              <c:numCache>
                <c:formatCode>0.000</c:formatCode>
                <c:ptCount val="7"/>
                <c:pt idx="0">
                  <c:v>0</c:v>
                </c:pt>
                <c:pt idx="1">
                  <c:v>1.09069964649039</c:v>
                </c:pt>
                <c:pt idx="2">
                  <c:v>1.09069964649039</c:v>
                </c:pt>
                <c:pt idx="4">
                  <c:v>0</c:v>
                </c:pt>
                <c:pt idx="5">
                  <c:v>1.1822540477800167</c:v>
                </c:pt>
                <c:pt idx="6">
                  <c:v>1.1822540477800167</c:v>
                </c:pt>
              </c:numCache>
            </c:numRef>
          </c:yVal>
          <c:smooth val="0"/>
          <c:extLst>
            <c:ext xmlns:c16="http://schemas.microsoft.com/office/drawing/2014/chart" uri="{C3380CC4-5D6E-409C-BE32-E72D297353CC}">
              <c16:uniqueId val="{00000005-3A9D-47D4-842D-ABEC62B2CCE4}"/>
            </c:ext>
          </c:extLst>
        </c:ser>
        <c:dLbls>
          <c:showLegendKey val="0"/>
          <c:showVal val="0"/>
          <c:showCatName val="0"/>
          <c:showSerName val="0"/>
          <c:showPercent val="0"/>
          <c:showBubbleSize val="0"/>
        </c:dLbls>
        <c:axId val="629106480"/>
        <c:axId val="312826928"/>
      </c:scatterChart>
      <c:valAx>
        <c:axId val="629106480"/>
        <c:scaling>
          <c:orientation val="minMax"/>
          <c:max val="11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a:t>
                </a:r>
                <a:r>
                  <a:rPr lang="en-US" baseline="-25000"/>
                  <a:t>1</a:t>
                </a:r>
                <a:r>
                  <a:rPr lang="en-US"/>
                  <a:t> W/S</a:t>
                </a:r>
              </a:p>
            </c:rich>
          </c:tx>
          <c:layout>
            <c:manualLayout>
              <c:xMode val="edge"/>
              <c:yMode val="edge"/>
              <c:x val="0.46267944562316499"/>
              <c:y val="0.936630976752114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826928"/>
        <c:crosses val="autoZero"/>
        <c:crossBetween val="midCat"/>
      </c:valAx>
      <c:valAx>
        <c:axId val="312826928"/>
        <c:scaling>
          <c:orientation val="minMax"/>
          <c:max val="2"/>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a:t>
                </a:r>
                <a:r>
                  <a:rPr lang="en-US" baseline="-25000"/>
                  <a:t>3</a:t>
                </a:r>
                <a:r>
                  <a:rPr lang="en-US"/>
                  <a:t>/n</a:t>
                </a:r>
                <a:r>
                  <a:rPr lang="en-US" baseline="-25000"/>
                  <a:t>1</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106480"/>
        <c:crosses val="autoZero"/>
        <c:crossBetween val="midCat"/>
        <c:majorUnit val="0.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3161978822615E-2"/>
          <c:y val="4.4770044770044773E-2"/>
          <c:w val="0.86843269753111951"/>
          <c:h val="0.82125368169671653"/>
        </c:manualLayout>
      </c:layout>
      <c:scatterChart>
        <c:scatterStyle val="lineMarker"/>
        <c:varyColors val="0"/>
        <c:ser>
          <c:idx val="0"/>
          <c:order val="0"/>
          <c:spPr>
            <a:ln w="19050" cap="rnd">
              <a:solidFill>
                <a:schemeClr val="tx1"/>
              </a:solidFill>
              <a:round/>
            </a:ln>
            <a:effectLst/>
          </c:spPr>
          <c:marker>
            <c:symbol val="none"/>
          </c:marker>
          <c:xVal>
            <c:numRef>
              <c:f>Analysis!$W$129:$W$151</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Analysis!$X$129:$X$151</c:f>
              <c:numCache>
                <c:formatCode>0.00</c:formatCode>
                <c:ptCount val="23"/>
                <c:pt idx="1">
                  <c:v>1.3742237015008811</c:v>
                </c:pt>
                <c:pt idx="2">
                  <c:v>1.2339468771401767</c:v>
                </c:pt>
                <c:pt idx="3">
                  <c:v>1.138597518597833</c:v>
                </c:pt>
                <c:pt idx="4">
                  <c:v>1.0677809704313193</c:v>
                </c:pt>
                <c:pt idx="5">
                  <c:v>1.0121991383646831</c:v>
                </c:pt>
                <c:pt idx="6">
                  <c:v>0.96689348318850965</c:v>
                </c:pt>
                <c:pt idx="7">
                  <c:v>0.92893255055070945</c:v>
                </c:pt>
                <c:pt idx="8">
                  <c:v>0.86819576230899731</c:v>
                </c:pt>
                <c:pt idx="9">
                  <c:v>0.82108294859425357</c:v>
                </c:pt>
                <c:pt idx="10">
                  <c:v>0.78299768258241931</c:v>
                </c:pt>
                <c:pt idx="11">
                  <c:v>0.75128267738007959</c:v>
                </c:pt>
                <c:pt idx="12">
                  <c:v>0.72427464898020477</c:v>
                </c:pt>
                <c:pt idx="13">
                  <c:v>0.70086924312612331</c:v>
                </c:pt>
                <c:pt idx="14">
                  <c:v>0.68029899849010123</c:v>
                </c:pt>
                <c:pt idx="15">
                  <c:v>0.6620108241756496</c:v>
                </c:pt>
                <c:pt idx="16">
                  <c:v>0.64559410739347756</c:v>
                </c:pt>
                <c:pt idx="17">
                  <c:v>0.62046806825446799</c:v>
                </c:pt>
                <c:pt idx="18">
                  <c:v>0.59894080111790404</c:v>
                </c:pt>
                <c:pt idx="19">
                  <c:v>0.58019460439983916</c:v>
                </c:pt>
                <c:pt idx="20">
                  <c:v>0.55502657741845662</c:v>
                </c:pt>
                <c:pt idx="21">
                  <c:v>0.53561937985188623</c:v>
                </c:pt>
                <c:pt idx="22">
                  <c:v>0.5187370409163693</c:v>
                </c:pt>
              </c:numCache>
            </c:numRef>
          </c:yVal>
          <c:smooth val="1"/>
          <c:extLst>
            <c:ext xmlns:c16="http://schemas.microsoft.com/office/drawing/2014/chart" uri="{C3380CC4-5D6E-409C-BE32-E72D297353CC}">
              <c16:uniqueId val="{00000000-A233-4814-8F04-1EED0FFB0B40}"/>
            </c:ext>
          </c:extLst>
        </c:ser>
        <c:ser>
          <c:idx val="6"/>
          <c:order val="1"/>
          <c:spPr>
            <a:ln w="31750" cap="rnd">
              <a:solidFill>
                <a:schemeClr val="tx1"/>
              </a:solidFill>
              <a:round/>
            </a:ln>
            <a:effectLst/>
          </c:spPr>
          <c:marker>
            <c:symbol val="none"/>
          </c:marker>
          <c:xVal>
            <c:numRef>
              <c:f>Analysis!$W$129:$W$151</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Analysis!$AD$129:$AD$151</c:f>
              <c:numCache>
                <c:formatCode>General</c:formatCode>
                <c:ptCount val="23"/>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numCache>
            </c:numRef>
          </c:yVal>
          <c:smooth val="0"/>
          <c:extLst>
            <c:ext xmlns:c16="http://schemas.microsoft.com/office/drawing/2014/chart" uri="{C3380CC4-5D6E-409C-BE32-E72D297353CC}">
              <c16:uniqueId val="{00000006-A233-4814-8F04-1EED0FFB0B40}"/>
            </c:ext>
          </c:extLst>
        </c:ser>
        <c:ser>
          <c:idx val="7"/>
          <c:order val="2"/>
          <c:spPr>
            <a:ln w="22225" cap="rnd">
              <a:solidFill>
                <a:srgbClr val="FF0000"/>
              </a:solidFill>
              <a:round/>
            </a:ln>
            <a:effectLst/>
          </c:spPr>
          <c:marker>
            <c:symbol val="none"/>
          </c:marker>
          <c:xVal>
            <c:numRef>
              <c:f>Analysis!$AF$140:$AF$146</c:f>
              <c:numCache>
                <c:formatCode>0.000</c:formatCode>
                <c:ptCount val="7"/>
                <c:pt idx="0">
                  <c:v>48.223350253807105</c:v>
                </c:pt>
                <c:pt idx="1">
                  <c:v>48.223350253807105</c:v>
                </c:pt>
                <c:pt idx="2">
                  <c:v>0</c:v>
                </c:pt>
                <c:pt idx="4">
                  <c:v>32.791878172588831</c:v>
                </c:pt>
                <c:pt idx="5">
                  <c:v>32.791878172588831</c:v>
                </c:pt>
                <c:pt idx="6">
                  <c:v>0</c:v>
                </c:pt>
              </c:numCache>
            </c:numRef>
          </c:xVal>
          <c:yVal>
            <c:numRef>
              <c:f>Analysis!$AG$140:$AG$146</c:f>
              <c:numCache>
                <c:formatCode>0.000</c:formatCode>
                <c:ptCount val="7"/>
                <c:pt idx="0">
                  <c:v>0</c:v>
                </c:pt>
                <c:pt idx="1">
                  <c:v>0.5816914282866803</c:v>
                </c:pt>
                <c:pt idx="2">
                  <c:v>0.5816914282866803</c:v>
                </c:pt>
                <c:pt idx="4">
                  <c:v>0</c:v>
                </c:pt>
                <c:pt idx="5">
                  <c:v>0.65809685006484264</c:v>
                </c:pt>
                <c:pt idx="6">
                  <c:v>0.65809685006484264</c:v>
                </c:pt>
              </c:numCache>
            </c:numRef>
          </c:yVal>
          <c:smooth val="0"/>
          <c:extLst>
            <c:ext xmlns:c16="http://schemas.microsoft.com/office/drawing/2014/chart" uri="{C3380CC4-5D6E-409C-BE32-E72D297353CC}">
              <c16:uniqueId val="{00000007-A233-4814-8F04-1EED0FFB0B40}"/>
            </c:ext>
          </c:extLst>
        </c:ser>
        <c:ser>
          <c:idx val="1"/>
          <c:order val="3"/>
          <c:spPr>
            <a:ln w="19050" cap="rnd">
              <a:solidFill>
                <a:schemeClr val="tx1"/>
              </a:solidFill>
              <a:round/>
            </a:ln>
            <a:effectLst/>
          </c:spPr>
          <c:marker>
            <c:symbol val="none"/>
          </c:marker>
          <c:xVal>
            <c:numRef>
              <c:f>Analysis!$W$129:$W$151</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Analysis!$Y$129:$Y$151</c:f>
              <c:numCache>
                <c:formatCode>0.00</c:formatCode>
                <c:ptCount val="23"/>
                <c:pt idx="1">
                  <c:v>1.2547259883268915</c:v>
                </c:pt>
                <c:pt idx="2">
                  <c:v>1.1266471486932048</c:v>
                </c:pt>
                <c:pt idx="3">
                  <c:v>1.0395890387197606</c:v>
                </c:pt>
                <c:pt idx="4">
                  <c:v>0.97493045126337852</c:v>
                </c:pt>
                <c:pt idx="5">
                  <c:v>0.92418182198514554</c:v>
                </c:pt>
                <c:pt idx="6">
                  <c:v>0.88281578899820456</c:v>
                </c:pt>
                <c:pt idx="7">
                  <c:v>0.84815580702456095</c:v>
                </c:pt>
                <c:pt idx="8">
                  <c:v>0.79270047862995408</c:v>
                </c:pt>
                <c:pt idx="9">
                  <c:v>0.74968443132518814</c:v>
                </c:pt>
                <c:pt idx="10">
                  <c:v>0.71491092757525243</c:v>
                </c:pt>
                <c:pt idx="11">
                  <c:v>0.6859537489122467</c:v>
                </c:pt>
                <c:pt idx="12">
                  <c:v>0.66129424472105669</c:v>
                </c:pt>
                <c:pt idx="13">
                  <c:v>0.63992409154993879</c:v>
                </c:pt>
                <c:pt idx="14">
                  <c:v>0.62114256383878808</c:v>
                </c:pt>
                <c:pt idx="15">
                  <c:v>0.60444466555168008</c:v>
                </c:pt>
                <c:pt idx="16">
                  <c:v>0.58945548935926229</c:v>
                </c:pt>
                <c:pt idx="17">
                  <c:v>0.56651432318886219</c:v>
                </c:pt>
                <c:pt idx="18">
                  <c:v>0.54685899232504287</c:v>
                </c:pt>
                <c:pt idx="19">
                  <c:v>0.52974289966941845</c:v>
                </c:pt>
                <c:pt idx="20">
                  <c:v>0.50676339677337356</c:v>
                </c:pt>
                <c:pt idx="21">
                  <c:v>0.48904378160389622</c:v>
                </c:pt>
                <c:pt idx="22">
                  <c:v>0.4736294721410329</c:v>
                </c:pt>
              </c:numCache>
            </c:numRef>
          </c:yVal>
          <c:smooth val="0"/>
          <c:extLst>
            <c:ext xmlns:c16="http://schemas.microsoft.com/office/drawing/2014/chart" uri="{C3380CC4-5D6E-409C-BE32-E72D297353CC}">
              <c16:uniqueId val="{00000008-A233-4814-8F04-1EED0FFB0B40}"/>
            </c:ext>
          </c:extLst>
        </c:ser>
        <c:ser>
          <c:idx val="2"/>
          <c:order val="4"/>
          <c:spPr>
            <a:ln w="19050" cap="rnd">
              <a:solidFill>
                <a:schemeClr val="tx1"/>
              </a:solidFill>
              <a:round/>
            </a:ln>
            <a:effectLst/>
          </c:spPr>
          <c:marker>
            <c:symbol val="none"/>
          </c:marker>
          <c:xVal>
            <c:numRef>
              <c:f>Analysis!$W$129:$W$151</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Analysis!$Z$129:$Z$151</c:f>
              <c:numCache>
                <c:formatCode>0.00</c:formatCode>
                <c:ptCount val="23"/>
                <c:pt idx="1">
                  <c:v>1.1352282751529019</c:v>
                </c:pt>
                <c:pt idx="2">
                  <c:v>1.0193474202462329</c:v>
                </c:pt>
                <c:pt idx="3">
                  <c:v>0.94058055884168812</c:v>
                </c:pt>
                <c:pt idx="4">
                  <c:v>0.88207993209543756</c:v>
                </c:pt>
                <c:pt idx="5">
                  <c:v>0.83616450560560784</c:v>
                </c:pt>
                <c:pt idx="6">
                  <c:v>0.79873809480789937</c:v>
                </c:pt>
                <c:pt idx="7">
                  <c:v>0.76737906349841212</c:v>
                </c:pt>
                <c:pt idx="8">
                  <c:v>0.71720519495091084</c:v>
                </c:pt>
                <c:pt idx="9">
                  <c:v>0.67828591405612249</c:v>
                </c:pt>
                <c:pt idx="10">
                  <c:v>0.64682417256808555</c:v>
                </c:pt>
                <c:pt idx="11">
                  <c:v>0.62062482044441358</c:v>
                </c:pt>
                <c:pt idx="12">
                  <c:v>0.59831384046190828</c:v>
                </c:pt>
                <c:pt idx="13">
                  <c:v>0.57897893997375405</c:v>
                </c:pt>
                <c:pt idx="14">
                  <c:v>0.56198612918747493</c:v>
                </c:pt>
                <c:pt idx="15">
                  <c:v>0.54687850692771056</c:v>
                </c:pt>
                <c:pt idx="16">
                  <c:v>0.53331687132504668</c:v>
                </c:pt>
                <c:pt idx="17">
                  <c:v>0.51256057812325617</c:v>
                </c:pt>
                <c:pt idx="18">
                  <c:v>0.49477718353218164</c:v>
                </c:pt>
                <c:pt idx="19">
                  <c:v>0.47929119493899758</c:v>
                </c:pt>
                <c:pt idx="20">
                  <c:v>0.45850021612829028</c:v>
                </c:pt>
                <c:pt idx="21">
                  <c:v>0.44246818335590604</c:v>
                </c:pt>
                <c:pt idx="22">
                  <c:v>0.4285219033656964</c:v>
                </c:pt>
              </c:numCache>
            </c:numRef>
          </c:yVal>
          <c:smooth val="0"/>
          <c:extLst>
            <c:ext xmlns:c16="http://schemas.microsoft.com/office/drawing/2014/chart" uri="{C3380CC4-5D6E-409C-BE32-E72D297353CC}">
              <c16:uniqueId val="{00000009-A233-4814-8F04-1EED0FFB0B40}"/>
            </c:ext>
          </c:extLst>
        </c:ser>
        <c:ser>
          <c:idx val="3"/>
          <c:order val="5"/>
          <c:spPr>
            <a:ln w="19050" cap="rnd">
              <a:solidFill>
                <a:schemeClr val="tx1"/>
              </a:solidFill>
              <a:round/>
            </a:ln>
            <a:effectLst/>
          </c:spPr>
          <c:marker>
            <c:symbol val="none"/>
          </c:marker>
          <c:xVal>
            <c:numRef>
              <c:f>Analysis!$W$129:$W$151</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Analysis!$AA$129:$AA$151</c:f>
              <c:numCache>
                <c:formatCode>0.00</c:formatCode>
                <c:ptCount val="23"/>
                <c:pt idx="1">
                  <c:v>1.0276803332963111</c:v>
                </c:pt>
                <c:pt idx="2">
                  <c:v>0.92277766464395816</c:v>
                </c:pt>
                <c:pt idx="3">
                  <c:v>0.85147292695142296</c:v>
                </c:pt>
                <c:pt idx="4">
                  <c:v>0.79851446484429089</c:v>
                </c:pt>
                <c:pt idx="5">
                  <c:v>0.75694892086402399</c:v>
                </c:pt>
                <c:pt idx="6">
                  <c:v>0.72306817003662471</c:v>
                </c:pt>
                <c:pt idx="7">
                  <c:v>0.69467999432487837</c:v>
                </c:pt>
                <c:pt idx="8">
                  <c:v>0.64925943963977195</c:v>
                </c:pt>
                <c:pt idx="9">
                  <c:v>0.61402724851396351</c:v>
                </c:pt>
                <c:pt idx="10">
                  <c:v>0.5855460930616353</c:v>
                </c:pt>
                <c:pt idx="11">
                  <c:v>0.56182878482336396</c:v>
                </c:pt>
                <c:pt idx="12">
                  <c:v>0.54163147662867495</c:v>
                </c:pt>
                <c:pt idx="13">
                  <c:v>0.52412830355518791</c:v>
                </c:pt>
                <c:pt idx="14">
                  <c:v>0.50874533800129307</c:v>
                </c:pt>
                <c:pt idx="15">
                  <c:v>0.49506896416613799</c:v>
                </c:pt>
                <c:pt idx="16">
                  <c:v>0.48279211509425285</c:v>
                </c:pt>
                <c:pt idx="17">
                  <c:v>0.4640022075642109</c:v>
                </c:pt>
                <c:pt idx="18">
                  <c:v>0.44790355561860656</c:v>
                </c:pt>
                <c:pt idx="19">
                  <c:v>0.43388466068161885</c:v>
                </c:pt>
                <c:pt idx="20">
                  <c:v>0.41506335354771545</c:v>
                </c:pt>
                <c:pt idx="21">
                  <c:v>0.40055014493271496</c:v>
                </c:pt>
                <c:pt idx="22">
                  <c:v>0.38792509146789361</c:v>
                </c:pt>
              </c:numCache>
            </c:numRef>
          </c:yVal>
          <c:smooth val="0"/>
          <c:extLst>
            <c:ext xmlns:c16="http://schemas.microsoft.com/office/drawing/2014/chart" uri="{C3380CC4-5D6E-409C-BE32-E72D297353CC}">
              <c16:uniqueId val="{0000000A-A233-4814-8F04-1EED0FFB0B40}"/>
            </c:ext>
          </c:extLst>
        </c:ser>
        <c:ser>
          <c:idx val="4"/>
          <c:order val="6"/>
          <c:spPr>
            <a:ln w="19050" cap="rnd">
              <a:solidFill>
                <a:schemeClr val="tx1"/>
              </a:solidFill>
              <a:round/>
            </a:ln>
            <a:effectLst/>
          </c:spPr>
          <c:marker>
            <c:symbol val="none"/>
          </c:marker>
          <c:xVal>
            <c:numRef>
              <c:f>Analysis!$W$129:$W$151</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Analysis!$AB$129:$AB$151</c:f>
              <c:numCache>
                <c:formatCode>0.00</c:formatCode>
                <c:ptCount val="23"/>
                <c:pt idx="1">
                  <c:v>0.91415750578102106</c:v>
                </c:pt>
                <c:pt idx="2">
                  <c:v>0.820842922619335</c:v>
                </c:pt>
                <c:pt idx="3">
                  <c:v>0.75741487106725425</c:v>
                </c:pt>
                <c:pt idx="4">
                  <c:v>0.71030647163474714</c:v>
                </c:pt>
                <c:pt idx="5">
                  <c:v>0.67333247030346322</c:v>
                </c:pt>
                <c:pt idx="6">
                  <c:v>0.64319436055583479</c:v>
                </c:pt>
                <c:pt idx="7">
                  <c:v>0.61794208797503725</c:v>
                </c:pt>
                <c:pt idx="8">
                  <c:v>0.57753892014468089</c:v>
                </c:pt>
                <c:pt idx="9">
                  <c:v>0.54619865710835136</c:v>
                </c:pt>
                <c:pt idx="10">
                  <c:v>0.52086367580482684</c:v>
                </c:pt>
                <c:pt idx="11">
                  <c:v>0.49976630277892259</c:v>
                </c:pt>
                <c:pt idx="12">
                  <c:v>0.48180009258248413</c:v>
                </c:pt>
                <c:pt idx="13">
                  <c:v>0.46623040955781253</c:v>
                </c:pt>
                <c:pt idx="14">
                  <c:v>0.45254672508254562</c:v>
                </c:pt>
                <c:pt idx="15">
                  <c:v>0.44038111347336695</c:v>
                </c:pt>
                <c:pt idx="16">
                  <c:v>0.42946042796174821</c:v>
                </c:pt>
                <c:pt idx="17">
                  <c:v>0.41274614975188528</c:v>
                </c:pt>
                <c:pt idx="18">
                  <c:v>0.39842583726538838</c:v>
                </c:pt>
                <c:pt idx="19">
                  <c:v>0.38595554118771913</c:v>
                </c:pt>
                <c:pt idx="20">
                  <c:v>0.36921333193488642</c:v>
                </c:pt>
                <c:pt idx="21">
                  <c:v>0.35630332659712438</c:v>
                </c:pt>
                <c:pt idx="22">
                  <c:v>0.34507290113132394</c:v>
                </c:pt>
              </c:numCache>
            </c:numRef>
          </c:yVal>
          <c:smooth val="0"/>
          <c:extLst>
            <c:ext xmlns:c16="http://schemas.microsoft.com/office/drawing/2014/chart" uri="{C3380CC4-5D6E-409C-BE32-E72D297353CC}">
              <c16:uniqueId val="{0000000B-A233-4814-8F04-1EED0FFB0B40}"/>
            </c:ext>
          </c:extLst>
        </c:ser>
        <c:ser>
          <c:idx val="5"/>
          <c:order val="7"/>
          <c:spPr>
            <a:ln w="19050" cap="rnd">
              <a:solidFill>
                <a:schemeClr val="tx1"/>
              </a:solidFill>
              <a:round/>
            </a:ln>
            <a:effectLst/>
          </c:spPr>
          <c:marker>
            <c:symbol val="none"/>
          </c:marker>
          <c:xVal>
            <c:numRef>
              <c:f>Analysis!$W$129:$W$151</c:f>
              <c:numCache>
                <c:formatCode>0.0</c:formatCode>
                <c:ptCount val="23"/>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45</c:v>
                </c:pt>
                <c:pt idx="15">
                  <c:v>49</c:v>
                </c:pt>
                <c:pt idx="16">
                  <c:v>53</c:v>
                </c:pt>
                <c:pt idx="17">
                  <c:v>60</c:v>
                </c:pt>
                <c:pt idx="18">
                  <c:v>67</c:v>
                </c:pt>
                <c:pt idx="19">
                  <c:v>74</c:v>
                </c:pt>
                <c:pt idx="20">
                  <c:v>85</c:v>
                </c:pt>
                <c:pt idx="21">
                  <c:v>95</c:v>
                </c:pt>
                <c:pt idx="22">
                  <c:v>105</c:v>
                </c:pt>
              </c:numCache>
            </c:numRef>
          </c:xVal>
          <c:yVal>
            <c:numRef>
              <c:f>Analysis!$AC$129:$AC$151</c:f>
              <c:numCache>
                <c:formatCode>0.00</c:formatCode>
                <c:ptCount val="23"/>
                <c:pt idx="1">
                  <c:v>0.80063467826573087</c:v>
                </c:pt>
                <c:pt idx="2">
                  <c:v>0.71890818059471173</c:v>
                </c:pt>
                <c:pt idx="3">
                  <c:v>0.66335681518308542</c:v>
                </c:pt>
                <c:pt idx="4">
                  <c:v>0.62209847842520338</c:v>
                </c:pt>
                <c:pt idx="5">
                  <c:v>0.58971601974290244</c:v>
                </c:pt>
                <c:pt idx="6">
                  <c:v>0.56332055107504486</c:v>
                </c:pt>
                <c:pt idx="7">
                  <c:v>0.54120418162519601</c:v>
                </c:pt>
                <c:pt idx="8">
                  <c:v>0.50581840064958983</c:v>
                </c:pt>
                <c:pt idx="9">
                  <c:v>0.4783700657027391</c:v>
                </c:pt>
                <c:pt idx="10">
                  <c:v>0.45618125854801828</c:v>
                </c:pt>
                <c:pt idx="11">
                  <c:v>0.43770382073448122</c:v>
                </c:pt>
                <c:pt idx="12">
                  <c:v>0.42196870853629331</c:v>
                </c:pt>
                <c:pt idx="13">
                  <c:v>0.40833251556043715</c:v>
                </c:pt>
                <c:pt idx="14">
                  <c:v>0.39634811216379812</c:v>
                </c:pt>
                <c:pt idx="15">
                  <c:v>0.3856932627805959</c:v>
                </c:pt>
                <c:pt idx="16">
                  <c:v>0.37612874082924352</c:v>
                </c:pt>
                <c:pt idx="17">
                  <c:v>0.36149009193955967</c:v>
                </c:pt>
                <c:pt idx="18">
                  <c:v>0.34894811891217026</c:v>
                </c:pt>
                <c:pt idx="19">
                  <c:v>0.33802642169381936</c:v>
                </c:pt>
                <c:pt idx="20">
                  <c:v>0.3233633103220574</c:v>
                </c:pt>
                <c:pt idx="21">
                  <c:v>0.31205650826153375</c:v>
                </c:pt>
                <c:pt idx="22">
                  <c:v>0.30222071079475432</c:v>
                </c:pt>
              </c:numCache>
            </c:numRef>
          </c:yVal>
          <c:smooth val="0"/>
          <c:extLst>
            <c:ext xmlns:c16="http://schemas.microsoft.com/office/drawing/2014/chart" uri="{C3380CC4-5D6E-409C-BE32-E72D297353CC}">
              <c16:uniqueId val="{0000000C-A233-4814-8F04-1EED0FFB0B40}"/>
            </c:ext>
          </c:extLst>
        </c:ser>
        <c:dLbls>
          <c:showLegendKey val="0"/>
          <c:showVal val="0"/>
          <c:showCatName val="0"/>
          <c:showSerName val="0"/>
          <c:showPercent val="0"/>
          <c:showBubbleSize val="0"/>
        </c:dLbls>
        <c:axId val="629106480"/>
        <c:axId val="312826928"/>
      </c:scatterChart>
      <c:valAx>
        <c:axId val="629106480"/>
        <c:scaling>
          <c:orientation val="minMax"/>
          <c:max val="11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a:t>
                </a:r>
                <a:r>
                  <a:rPr lang="en-US" baseline="-25000"/>
                  <a:t>1</a:t>
                </a:r>
                <a:r>
                  <a:rPr lang="en-US"/>
                  <a:t> W/S</a:t>
                </a:r>
              </a:p>
            </c:rich>
          </c:tx>
          <c:layout>
            <c:manualLayout>
              <c:xMode val="edge"/>
              <c:yMode val="edge"/>
              <c:x val="0.46267944562316499"/>
              <c:y val="0.936630976752114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826928"/>
        <c:crosses val="autoZero"/>
        <c:crossBetween val="midCat"/>
      </c:valAx>
      <c:valAx>
        <c:axId val="312826928"/>
        <c:scaling>
          <c:orientation val="minMax"/>
          <c:max val="1.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n</a:t>
                </a:r>
                <a:r>
                  <a:rPr lang="en-US" baseline="-25000"/>
                  <a:t>4</a:t>
                </a:r>
                <a:r>
                  <a:rPr lang="en-US"/>
                  <a:t>/n</a:t>
                </a:r>
                <a:r>
                  <a:rPr lang="en-US" baseline="-25000"/>
                  <a:t>1</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106480"/>
        <c:crosses val="autoZero"/>
        <c:crossBetween val="midCat"/>
        <c:majorUnit val="0.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chemeClr val="bg1">
                  <a:lumMod val="50000"/>
                </a:schemeClr>
              </a:solidFill>
              <a:prstDash val="dash"/>
            </a:ln>
          </c:spPr>
          <c:marker>
            <c:symbol val="none"/>
          </c:marker>
          <c:xVal>
            <c:numRef>
              <c:f>Analysis!$W$175:$W$176</c:f>
              <c:numCache>
                <c:formatCode>0.0</c:formatCode>
                <c:ptCount val="2"/>
                <c:pt idx="0" formatCode="General">
                  <c:v>0</c:v>
                </c:pt>
                <c:pt idx="1">
                  <c:v>120</c:v>
                </c:pt>
              </c:numCache>
            </c:numRef>
          </c:xVal>
          <c:yVal>
            <c:numRef>
              <c:f>Analysis!$X$175:$X$176</c:f>
              <c:numCache>
                <c:formatCode>0.00</c:formatCode>
                <c:ptCount val="2"/>
                <c:pt idx="0" formatCode="General">
                  <c:v>1</c:v>
                </c:pt>
                <c:pt idx="1">
                  <c:v>3.8</c:v>
                </c:pt>
              </c:numCache>
            </c:numRef>
          </c:yVal>
          <c:smooth val="0"/>
          <c:extLst>
            <c:ext xmlns:c16="http://schemas.microsoft.com/office/drawing/2014/chart" uri="{C3380CC4-5D6E-409C-BE32-E72D297353CC}">
              <c16:uniqueId val="{00000000-7CF2-4016-A8B7-CE44991D9C4A}"/>
            </c:ext>
          </c:extLst>
        </c:ser>
        <c:ser>
          <c:idx val="1"/>
          <c:order val="1"/>
          <c:tx>
            <c:v>A</c:v>
          </c:tx>
          <c:spPr>
            <a:ln>
              <a:noFill/>
            </a:ln>
          </c:spPr>
          <c:marker>
            <c:symbol val="circle"/>
            <c:size val="5"/>
            <c:spPr>
              <a:solidFill>
                <a:schemeClr val="tx1"/>
              </a:solidFill>
              <a:ln>
                <a:solidFill>
                  <a:schemeClr val="tx1"/>
                </a:solidFill>
              </a:ln>
            </c:spPr>
          </c:marker>
          <c:dLbls>
            <c:dLbl>
              <c:idx val="0"/>
              <c:dLblPos val="l"/>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7CF2-4016-A8B7-CE44991D9C4A}"/>
                </c:ext>
              </c:extLst>
            </c:dLbl>
            <c:spPr>
              <a:noFill/>
              <a:ln>
                <a:noFill/>
              </a:ln>
              <a:effectLst/>
            </c:spPr>
            <c:dLblPos val="l"/>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xVal>
            <c:numRef>
              <c:f>Analysis!$AT$172</c:f>
              <c:numCache>
                <c:formatCode>0.0</c:formatCode>
                <c:ptCount val="1"/>
                <c:pt idx="0">
                  <c:v>120</c:v>
                </c:pt>
              </c:numCache>
            </c:numRef>
          </c:xVal>
          <c:yVal>
            <c:numRef>
              <c:f>Analysis!$AT$173</c:f>
              <c:numCache>
                <c:formatCode>General</c:formatCode>
                <c:ptCount val="1"/>
                <c:pt idx="0">
                  <c:v>3.8</c:v>
                </c:pt>
              </c:numCache>
            </c:numRef>
          </c:yVal>
          <c:smooth val="0"/>
          <c:extLst>
            <c:ext xmlns:c16="http://schemas.microsoft.com/office/drawing/2014/chart" uri="{C3380CC4-5D6E-409C-BE32-E72D297353CC}">
              <c16:uniqueId val="{00000002-7CF2-4016-A8B7-CE44991D9C4A}"/>
            </c:ext>
          </c:extLst>
        </c:ser>
        <c:ser>
          <c:idx val="2"/>
          <c:order val="2"/>
          <c:tx>
            <c:v>C</c:v>
          </c:tx>
          <c:spPr>
            <a:ln>
              <a:noFill/>
            </a:ln>
          </c:spPr>
          <c:marker>
            <c:symbol val="circle"/>
            <c:size val="5"/>
            <c:spPr>
              <a:solidFill>
                <a:schemeClr val="tx1"/>
              </a:solidFill>
              <a:ln>
                <a:solidFill>
                  <a:schemeClr val="tx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Analysis!$AT$188</c:f>
              <c:numCache>
                <c:formatCode>0.0</c:formatCode>
                <c:ptCount val="1"/>
                <c:pt idx="0">
                  <c:v>160</c:v>
                </c:pt>
              </c:numCache>
            </c:numRef>
          </c:xVal>
          <c:yVal>
            <c:numRef>
              <c:f>Analysis!$AT$189</c:f>
              <c:numCache>
                <c:formatCode>0.00</c:formatCode>
                <c:ptCount val="1"/>
                <c:pt idx="0">
                  <c:v>4.1446586566634815</c:v>
                </c:pt>
              </c:numCache>
            </c:numRef>
          </c:yVal>
          <c:smooth val="0"/>
          <c:extLst>
            <c:ext xmlns:c16="http://schemas.microsoft.com/office/drawing/2014/chart" uri="{C3380CC4-5D6E-409C-BE32-E72D297353CC}">
              <c16:uniqueId val="{00000003-7CF2-4016-A8B7-CE44991D9C4A}"/>
            </c:ext>
          </c:extLst>
        </c:ser>
        <c:ser>
          <c:idx val="3"/>
          <c:order val="3"/>
          <c:tx>
            <c:v>D</c:v>
          </c:tx>
          <c:spPr>
            <a:ln>
              <a:noFill/>
            </a:ln>
          </c:spPr>
          <c:marker>
            <c:symbol val="circle"/>
            <c:size val="5"/>
            <c:spPr>
              <a:solidFill>
                <a:sysClr val="windowText" lastClr="000000"/>
              </a:solidFill>
              <a:ln>
                <a:solidFill>
                  <a:sysClr val="windowText" lastClr="000000"/>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Analysis!$AT$175</c:f>
              <c:numCache>
                <c:formatCode>0.0</c:formatCode>
                <c:ptCount val="1"/>
                <c:pt idx="0">
                  <c:v>190</c:v>
                </c:pt>
              </c:numCache>
            </c:numRef>
          </c:xVal>
          <c:yVal>
            <c:numRef>
              <c:f>Analysis!$AT$176</c:f>
              <c:numCache>
                <c:formatCode>0.00</c:formatCode>
                <c:ptCount val="1"/>
                <c:pt idx="0">
                  <c:v>3.8</c:v>
                </c:pt>
              </c:numCache>
            </c:numRef>
          </c:yVal>
          <c:smooth val="0"/>
          <c:extLst>
            <c:ext xmlns:c16="http://schemas.microsoft.com/office/drawing/2014/chart" uri="{C3380CC4-5D6E-409C-BE32-E72D297353CC}">
              <c16:uniqueId val="{00000004-7CF2-4016-A8B7-CE44991D9C4A}"/>
            </c:ext>
          </c:extLst>
        </c:ser>
        <c:ser>
          <c:idx val="4"/>
          <c:order val="4"/>
          <c:tx>
            <c:v>F</c:v>
          </c:tx>
          <c:marker>
            <c:symbol val="circle"/>
            <c:size val="5"/>
            <c:spPr>
              <a:solidFill>
                <a:sysClr val="windowText" lastClr="000000"/>
              </a:solidFill>
              <a:ln>
                <a:solidFill>
                  <a:sysClr val="windowText" lastClr="000000"/>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Analysis!$AT$181</c:f>
              <c:numCache>
                <c:formatCode>0.0</c:formatCode>
                <c:ptCount val="1"/>
                <c:pt idx="0">
                  <c:v>160</c:v>
                </c:pt>
              </c:numCache>
            </c:numRef>
          </c:xVal>
          <c:yVal>
            <c:numRef>
              <c:f>Analysis!$AT$182</c:f>
              <c:numCache>
                <c:formatCode>0.00</c:formatCode>
                <c:ptCount val="1"/>
                <c:pt idx="0">
                  <c:v>-2.2104274274893849</c:v>
                </c:pt>
              </c:numCache>
            </c:numRef>
          </c:yVal>
          <c:smooth val="0"/>
          <c:extLst>
            <c:ext xmlns:c16="http://schemas.microsoft.com/office/drawing/2014/chart" uri="{C3380CC4-5D6E-409C-BE32-E72D297353CC}">
              <c16:uniqueId val="{00000005-7CF2-4016-A8B7-CE44991D9C4A}"/>
            </c:ext>
          </c:extLst>
        </c:ser>
        <c:ser>
          <c:idx val="5"/>
          <c:order val="5"/>
          <c:marker>
            <c:symbol val="circle"/>
            <c:size val="5"/>
            <c:spPr>
              <a:solidFill>
                <a:sysClr val="windowText" lastClr="000000"/>
              </a:solidFill>
              <a:ln>
                <a:solidFill>
                  <a:sysClr val="windowText" lastClr="000000"/>
                </a:solidFill>
              </a:ln>
            </c:spPr>
          </c:marker>
          <c:xVal>
            <c:numRef>
              <c:f>Analysis!$AT$178</c:f>
              <c:numCache>
                <c:formatCode>0.0</c:formatCode>
                <c:ptCount val="1"/>
                <c:pt idx="0">
                  <c:v>190</c:v>
                </c:pt>
              </c:numCache>
            </c:numRef>
          </c:xVal>
          <c:yVal>
            <c:numRef>
              <c:f>Analysis!$AT$179</c:f>
              <c:numCache>
                <c:formatCode>0.00</c:formatCode>
                <c:ptCount val="1"/>
                <c:pt idx="0">
                  <c:v>-1.9</c:v>
                </c:pt>
              </c:numCache>
            </c:numRef>
          </c:yVal>
          <c:smooth val="0"/>
          <c:extLst>
            <c:ext xmlns:c16="http://schemas.microsoft.com/office/drawing/2014/chart" uri="{C3380CC4-5D6E-409C-BE32-E72D297353CC}">
              <c16:uniqueId val="{00000006-7CF2-4016-A8B7-CE44991D9C4A}"/>
            </c:ext>
          </c:extLst>
        </c:ser>
        <c:ser>
          <c:idx val="6"/>
          <c:order val="6"/>
          <c:spPr>
            <a:ln w="12700">
              <a:solidFill>
                <a:schemeClr val="bg1">
                  <a:lumMod val="50000"/>
                </a:schemeClr>
              </a:solidFill>
              <a:prstDash val="dash"/>
            </a:ln>
          </c:spPr>
          <c:marker>
            <c:symbol val="none"/>
          </c:marker>
          <c:xVal>
            <c:numRef>
              <c:f>Analysis!$W$175:$W$176</c:f>
              <c:numCache>
                <c:formatCode>0.0</c:formatCode>
                <c:ptCount val="2"/>
                <c:pt idx="0" formatCode="General">
                  <c:v>0</c:v>
                </c:pt>
                <c:pt idx="1">
                  <c:v>120</c:v>
                </c:pt>
              </c:numCache>
            </c:numRef>
          </c:xVal>
          <c:yVal>
            <c:numRef>
              <c:f>Analysis!$Y$175:$Y$176</c:f>
              <c:numCache>
                <c:formatCode>0.00</c:formatCode>
                <c:ptCount val="2"/>
                <c:pt idx="0" formatCode="General">
                  <c:v>1</c:v>
                </c:pt>
                <c:pt idx="1">
                  <c:v>-1.9</c:v>
                </c:pt>
              </c:numCache>
            </c:numRef>
          </c:yVal>
          <c:smooth val="0"/>
          <c:extLst>
            <c:ext xmlns:c16="http://schemas.microsoft.com/office/drawing/2014/chart" uri="{C3380CC4-5D6E-409C-BE32-E72D297353CC}">
              <c16:uniqueId val="{00000007-7CF2-4016-A8B7-CE44991D9C4A}"/>
            </c:ext>
          </c:extLst>
        </c:ser>
        <c:ser>
          <c:idx val="7"/>
          <c:order val="7"/>
          <c:spPr>
            <a:ln w="12700">
              <a:solidFill>
                <a:schemeClr val="bg1">
                  <a:lumMod val="50000"/>
                </a:schemeClr>
              </a:solidFill>
              <a:prstDash val="dash"/>
            </a:ln>
          </c:spPr>
          <c:marker>
            <c:symbol val="none"/>
          </c:marker>
          <c:xVal>
            <c:numRef>
              <c:f>Analysis!$W$175:$W$180</c:f>
              <c:numCache>
                <c:formatCode>0.0</c:formatCode>
                <c:ptCount val="6"/>
                <c:pt idx="0" formatCode="General">
                  <c:v>0</c:v>
                </c:pt>
                <c:pt idx="1">
                  <c:v>120</c:v>
                </c:pt>
                <c:pt idx="4" formatCode="General">
                  <c:v>0</c:v>
                </c:pt>
                <c:pt idx="5">
                  <c:v>190</c:v>
                </c:pt>
              </c:numCache>
            </c:numRef>
          </c:xVal>
          <c:yVal>
            <c:numRef>
              <c:f>Analysis!$Z$175:$Z$180</c:f>
              <c:numCache>
                <c:formatCode>General</c:formatCode>
                <c:ptCount val="6"/>
                <c:pt idx="0">
                  <c:v>1</c:v>
                </c:pt>
                <c:pt idx="4">
                  <c:v>1</c:v>
                </c:pt>
                <c:pt idx="5" formatCode="0.00">
                  <c:v>3.8</c:v>
                </c:pt>
              </c:numCache>
            </c:numRef>
          </c:yVal>
          <c:smooth val="0"/>
          <c:extLst>
            <c:ext xmlns:c16="http://schemas.microsoft.com/office/drawing/2014/chart" uri="{C3380CC4-5D6E-409C-BE32-E72D297353CC}">
              <c16:uniqueId val="{00000008-7CF2-4016-A8B7-CE44991D9C4A}"/>
            </c:ext>
          </c:extLst>
        </c:ser>
        <c:ser>
          <c:idx val="8"/>
          <c:order val="8"/>
          <c:spPr>
            <a:ln w="12700">
              <a:solidFill>
                <a:schemeClr val="bg1">
                  <a:lumMod val="50000"/>
                </a:schemeClr>
              </a:solidFill>
              <a:prstDash val="dash"/>
            </a:ln>
          </c:spPr>
          <c:marker>
            <c:symbol val="none"/>
          </c:marker>
          <c:xVal>
            <c:numRef>
              <c:f>Analysis!$W$175:$W$180</c:f>
              <c:numCache>
                <c:formatCode>0.0</c:formatCode>
                <c:ptCount val="6"/>
                <c:pt idx="0" formatCode="General">
                  <c:v>0</c:v>
                </c:pt>
                <c:pt idx="1">
                  <c:v>120</c:v>
                </c:pt>
                <c:pt idx="4" formatCode="General">
                  <c:v>0</c:v>
                </c:pt>
                <c:pt idx="5">
                  <c:v>190</c:v>
                </c:pt>
              </c:numCache>
            </c:numRef>
          </c:xVal>
          <c:yVal>
            <c:numRef>
              <c:f>Analysis!$AA$175:$AA$180</c:f>
              <c:numCache>
                <c:formatCode>General</c:formatCode>
                <c:ptCount val="6"/>
                <c:pt idx="0">
                  <c:v>1</c:v>
                </c:pt>
                <c:pt idx="4">
                  <c:v>1</c:v>
                </c:pt>
                <c:pt idx="5" formatCode="0.00">
                  <c:v>-1.9</c:v>
                </c:pt>
              </c:numCache>
            </c:numRef>
          </c:yVal>
          <c:smooth val="0"/>
          <c:extLst>
            <c:ext xmlns:c16="http://schemas.microsoft.com/office/drawing/2014/chart" uri="{C3380CC4-5D6E-409C-BE32-E72D297353CC}">
              <c16:uniqueId val="{00000009-7CF2-4016-A8B7-CE44991D9C4A}"/>
            </c:ext>
          </c:extLst>
        </c:ser>
        <c:ser>
          <c:idx val="9"/>
          <c:order val="9"/>
          <c:spPr>
            <a:ln w="19050">
              <a:solidFill>
                <a:schemeClr val="tx1"/>
              </a:solidFill>
            </a:ln>
          </c:spPr>
          <c:marker>
            <c:symbol val="none"/>
          </c:marker>
          <c:xVal>
            <c:numRef>
              <c:f>Analysis!$AD$176:$AD$181</c:f>
              <c:numCache>
                <c:formatCode>0.0</c:formatCode>
                <c:ptCount val="6"/>
                <c:pt idx="0">
                  <c:v>120</c:v>
                </c:pt>
                <c:pt idx="1">
                  <c:v>160</c:v>
                </c:pt>
                <c:pt idx="2">
                  <c:v>190</c:v>
                </c:pt>
                <c:pt idx="3">
                  <c:v>190</c:v>
                </c:pt>
                <c:pt idx="4">
                  <c:v>160</c:v>
                </c:pt>
                <c:pt idx="5">
                  <c:v>120</c:v>
                </c:pt>
              </c:numCache>
            </c:numRef>
          </c:xVal>
          <c:yVal>
            <c:numRef>
              <c:f>Analysis!$AE$176:$AE$181</c:f>
              <c:numCache>
                <c:formatCode>0.00</c:formatCode>
                <c:ptCount val="6"/>
                <c:pt idx="0" formatCode="General">
                  <c:v>3.8</c:v>
                </c:pt>
                <c:pt idx="1">
                  <c:v>4.1446586566634815</c:v>
                </c:pt>
                <c:pt idx="2">
                  <c:v>3.8</c:v>
                </c:pt>
                <c:pt idx="3">
                  <c:v>-1.9</c:v>
                </c:pt>
                <c:pt idx="4">
                  <c:v>-2.2104274274893849</c:v>
                </c:pt>
                <c:pt idx="5">
                  <c:v>-1.9</c:v>
                </c:pt>
              </c:numCache>
            </c:numRef>
          </c:yVal>
          <c:smooth val="0"/>
          <c:extLst>
            <c:ext xmlns:c16="http://schemas.microsoft.com/office/drawing/2014/chart" uri="{C3380CC4-5D6E-409C-BE32-E72D297353CC}">
              <c16:uniqueId val="{0000000A-7CF2-4016-A8B7-CE44991D9C4A}"/>
            </c:ext>
          </c:extLst>
        </c:ser>
        <c:ser>
          <c:idx val="10"/>
          <c:order val="10"/>
          <c:marker>
            <c:symbol val="circle"/>
            <c:size val="5"/>
            <c:spPr>
              <a:solidFill>
                <a:sysClr val="windowText" lastClr="000000"/>
              </a:solidFill>
              <a:ln>
                <a:solidFill>
                  <a:prstClr val="white">
                    <a:lumMod val="50000"/>
                  </a:prstClr>
                </a:solidFill>
              </a:ln>
            </c:spPr>
          </c:marker>
          <c:xVal>
            <c:numRef>
              <c:f>Analysis!$AT$184</c:f>
              <c:numCache>
                <c:formatCode>0.0</c:formatCode>
                <c:ptCount val="1"/>
                <c:pt idx="0">
                  <c:v>120</c:v>
                </c:pt>
              </c:numCache>
            </c:numRef>
          </c:xVal>
          <c:yVal>
            <c:numRef>
              <c:f>Analysis!$AT$185</c:f>
              <c:numCache>
                <c:formatCode>General</c:formatCode>
                <c:ptCount val="1"/>
                <c:pt idx="0">
                  <c:v>-1.9</c:v>
                </c:pt>
              </c:numCache>
            </c:numRef>
          </c:yVal>
          <c:smooth val="0"/>
          <c:extLst>
            <c:ext xmlns:c16="http://schemas.microsoft.com/office/drawing/2014/chart" uri="{C3380CC4-5D6E-409C-BE32-E72D297353CC}">
              <c16:uniqueId val="{0000000B-7CF2-4016-A8B7-CE44991D9C4A}"/>
            </c:ext>
          </c:extLst>
        </c:ser>
        <c:ser>
          <c:idx val="11"/>
          <c:order val="11"/>
          <c:tx>
            <c:v>G</c:v>
          </c:tx>
          <c:spPr>
            <a:ln w="19050">
              <a:solidFill>
                <a:schemeClr val="tx1"/>
              </a:solidFill>
            </a:ln>
          </c:spPr>
          <c:marker>
            <c:symbol val="none"/>
          </c:marker>
          <c:dLbls>
            <c:dLbl>
              <c:idx val="0"/>
              <c:dLblPos val="l"/>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7CF2-4016-A8B7-CE44991D9C4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Analysis!$AJ$171:$AJ$187</c:f>
              <c:numCache>
                <c:formatCode>General</c:formatCode>
                <c:ptCount val="17"/>
                <c:pt idx="0" formatCode="0.0">
                  <c:v>120</c:v>
                </c:pt>
                <c:pt idx="1">
                  <c:v>114.41551070947108</c:v>
                </c:pt>
                <c:pt idx="2">
                  <c:v>104.4465935734187</c:v>
                </c:pt>
                <c:pt idx="3">
                  <c:v>91.605722482868885</c:v>
                </c:pt>
                <c:pt idx="4">
                  <c:v>77.420966113876361</c:v>
                </c:pt>
                <c:pt idx="5">
                  <c:v>63.213954124101384</c:v>
                </c:pt>
                <c:pt idx="6">
                  <c:v>49.975018734388655</c:v>
                </c:pt>
                <c:pt idx="7">
                  <c:v>47.649310760087197</c:v>
                </c:pt>
                <c:pt idx="8">
                  <c:v>35.515699313522376</c:v>
                </c:pt>
                <c:pt idx="9">
                  <c:v>25.765796358008931</c:v>
                </c:pt>
                <c:pt idx="10">
                  <c:v>18.219169327419767</c:v>
                </c:pt>
                <c:pt idx="11">
                  <c:v>12.882898179004465</c:v>
                </c:pt>
                <c:pt idx="12">
                  <c:v>9.1095846637098834</c:v>
                </c:pt>
                <c:pt idx="13">
                  <c:v>6.4414490895022327</c:v>
                </c:pt>
                <c:pt idx="14">
                  <c:v>4.5547923318549417</c:v>
                </c:pt>
                <c:pt idx="15">
                  <c:v>3.2207245447511164</c:v>
                </c:pt>
              </c:numCache>
            </c:numRef>
          </c:xVal>
          <c:yVal>
            <c:numRef>
              <c:f>Analysis!$AL$171:$AL$187</c:f>
              <c:numCache>
                <c:formatCode>General</c:formatCode>
                <c:ptCount val="17"/>
                <c:pt idx="0">
                  <c:v>-1.9</c:v>
                </c:pt>
                <c:pt idx="1">
                  <c:v>-1.7272727272727271</c:v>
                </c:pt>
                <c:pt idx="2">
                  <c:v>-1.4393939393939392</c:v>
                </c:pt>
                <c:pt idx="3">
                  <c:v>-1.1072261072261071</c:v>
                </c:pt>
                <c:pt idx="4">
                  <c:v>-0.79087579087579085</c:v>
                </c:pt>
                <c:pt idx="5">
                  <c:v>-0.52725052725052723</c:v>
                </c:pt>
                <c:pt idx="6">
                  <c:v>-0.32953157953157952</c:v>
                </c:pt>
                <c:pt idx="7">
                  <c:v>-0.29957416321052682</c:v>
                </c:pt>
                <c:pt idx="8">
                  <c:v>-0.16643009067251491</c:v>
                </c:pt>
                <c:pt idx="9">
                  <c:v>-8.759478456448154E-2</c:v>
                </c:pt>
                <c:pt idx="10">
                  <c:v>-4.379739228224077E-2</c:v>
                </c:pt>
                <c:pt idx="11">
                  <c:v>-2.1898696141120385E-2</c:v>
                </c:pt>
                <c:pt idx="12">
                  <c:v>-1.0949348070560192E-2</c:v>
                </c:pt>
                <c:pt idx="13">
                  <c:v>-5.4746740352800962E-3</c:v>
                </c:pt>
                <c:pt idx="14">
                  <c:v>-2.7373370176400481E-3</c:v>
                </c:pt>
                <c:pt idx="15">
                  <c:v>-1.3686685088200241E-3</c:v>
                </c:pt>
                <c:pt idx="16">
                  <c:v>0</c:v>
                </c:pt>
              </c:numCache>
            </c:numRef>
          </c:yVal>
          <c:smooth val="0"/>
          <c:extLst>
            <c:ext xmlns:c16="http://schemas.microsoft.com/office/drawing/2014/chart" uri="{C3380CC4-5D6E-409C-BE32-E72D297353CC}">
              <c16:uniqueId val="{0000000D-7CF2-4016-A8B7-CE44991D9C4A}"/>
            </c:ext>
          </c:extLst>
        </c:ser>
        <c:ser>
          <c:idx val="12"/>
          <c:order val="12"/>
          <c:spPr>
            <a:ln w="19050">
              <a:solidFill>
                <a:schemeClr val="tx1"/>
              </a:solidFill>
            </a:ln>
          </c:spPr>
          <c:marker>
            <c:symbol val="none"/>
          </c:marker>
          <c:xVal>
            <c:numRef>
              <c:f>Analysis!$AN$171:$AN$187</c:f>
              <c:numCache>
                <c:formatCode>General</c:formatCode>
                <c:ptCount val="17"/>
                <c:pt idx="0" formatCode="0.0">
                  <c:v>120</c:v>
                </c:pt>
                <c:pt idx="1">
                  <c:v>114.41551070947108</c:v>
                </c:pt>
                <c:pt idx="2">
                  <c:v>104.4465935734187</c:v>
                </c:pt>
                <c:pt idx="3">
                  <c:v>91.605722482868885</c:v>
                </c:pt>
                <c:pt idx="4">
                  <c:v>77.420966113876389</c:v>
                </c:pt>
                <c:pt idx="5">
                  <c:v>63.213954124101392</c:v>
                </c:pt>
                <c:pt idx="6">
                  <c:v>49.975018734388655</c:v>
                </c:pt>
                <c:pt idx="7">
                  <c:v>47.649310760087197</c:v>
                </c:pt>
                <c:pt idx="8">
                  <c:v>35.515699313522383</c:v>
                </c:pt>
                <c:pt idx="9">
                  <c:v>25.765796358008934</c:v>
                </c:pt>
                <c:pt idx="10">
                  <c:v>18.219169327419767</c:v>
                </c:pt>
                <c:pt idx="11">
                  <c:v>12.882898179004467</c:v>
                </c:pt>
                <c:pt idx="12">
                  <c:v>9.1095846637098834</c:v>
                </c:pt>
                <c:pt idx="13">
                  <c:v>6.4414490895022336</c:v>
                </c:pt>
                <c:pt idx="14">
                  <c:v>4.5547923318549417</c:v>
                </c:pt>
                <c:pt idx="15">
                  <c:v>3.2207245447511168</c:v>
                </c:pt>
                <c:pt idx="16">
                  <c:v>0</c:v>
                </c:pt>
              </c:numCache>
            </c:numRef>
          </c:xVal>
          <c:yVal>
            <c:numRef>
              <c:f>Analysis!$AO$171:$AO$187</c:f>
              <c:numCache>
                <c:formatCode>General</c:formatCode>
                <c:ptCount val="17"/>
                <c:pt idx="0">
                  <c:v>3.8</c:v>
                </c:pt>
                <c:pt idx="1">
                  <c:v>3.4545454545454541</c:v>
                </c:pt>
                <c:pt idx="2">
                  <c:v>2.8787878787878785</c:v>
                </c:pt>
                <c:pt idx="3">
                  <c:v>2.2144522144522143</c:v>
                </c:pt>
                <c:pt idx="4">
                  <c:v>1.5817515817515817</c:v>
                </c:pt>
                <c:pt idx="5">
                  <c:v>1.0545010545010545</c:v>
                </c:pt>
                <c:pt idx="6">
                  <c:v>0.65906315906315904</c:v>
                </c:pt>
                <c:pt idx="7">
                  <c:v>0.59914832642105365</c:v>
                </c:pt>
                <c:pt idx="8">
                  <c:v>0.33286018134502982</c:v>
                </c:pt>
                <c:pt idx="9">
                  <c:v>0.17518956912896308</c:v>
                </c:pt>
                <c:pt idx="10">
                  <c:v>8.759478456448154E-2</c:v>
                </c:pt>
                <c:pt idx="11">
                  <c:v>4.379739228224077E-2</c:v>
                </c:pt>
                <c:pt idx="12">
                  <c:v>2.1898696141120385E-2</c:v>
                </c:pt>
                <c:pt idx="13">
                  <c:v>1.0949348070560192E-2</c:v>
                </c:pt>
                <c:pt idx="14">
                  <c:v>5.4746740352800962E-3</c:v>
                </c:pt>
                <c:pt idx="15">
                  <c:v>2.7373370176400481E-3</c:v>
                </c:pt>
                <c:pt idx="16">
                  <c:v>0</c:v>
                </c:pt>
              </c:numCache>
            </c:numRef>
          </c:yVal>
          <c:smooth val="0"/>
          <c:extLst>
            <c:ext xmlns:c16="http://schemas.microsoft.com/office/drawing/2014/chart" uri="{C3380CC4-5D6E-409C-BE32-E72D297353CC}">
              <c16:uniqueId val="{0000000E-7CF2-4016-A8B7-CE44991D9C4A}"/>
            </c:ext>
          </c:extLst>
        </c:ser>
        <c:ser>
          <c:idx val="13"/>
          <c:order val="13"/>
          <c:spPr>
            <a:ln w="15875">
              <a:solidFill>
                <a:schemeClr val="tx1"/>
              </a:solidFill>
              <a:prstDash val="lgDashDot"/>
            </a:ln>
          </c:spPr>
          <c:marker>
            <c:symbol val="none"/>
          </c:marker>
          <c:xVal>
            <c:numRef>
              <c:f>Analysis!$AG$177:$AG$192</c:f>
              <c:numCache>
                <c:formatCode>0.0</c:formatCode>
                <c:ptCount val="16"/>
                <c:pt idx="0">
                  <c:v>120</c:v>
                </c:pt>
                <c:pt idx="1">
                  <c:v>190</c:v>
                </c:pt>
                <c:pt idx="3">
                  <c:v>120</c:v>
                </c:pt>
                <c:pt idx="4">
                  <c:v>190</c:v>
                </c:pt>
                <c:pt idx="6">
                  <c:v>120</c:v>
                </c:pt>
                <c:pt idx="7">
                  <c:v>120</c:v>
                </c:pt>
                <c:pt idx="9">
                  <c:v>160</c:v>
                </c:pt>
                <c:pt idx="10">
                  <c:v>160</c:v>
                </c:pt>
              </c:numCache>
            </c:numRef>
          </c:xVal>
          <c:yVal>
            <c:numRef>
              <c:f>Analysis!$AH$177:$AH$192</c:f>
              <c:numCache>
                <c:formatCode>0.00</c:formatCode>
                <c:ptCount val="16"/>
                <c:pt idx="0">
                  <c:v>3.8</c:v>
                </c:pt>
                <c:pt idx="1">
                  <c:v>3.8</c:v>
                </c:pt>
                <c:pt idx="3">
                  <c:v>-1.9</c:v>
                </c:pt>
                <c:pt idx="4">
                  <c:v>-1.9</c:v>
                </c:pt>
                <c:pt idx="6" formatCode="General">
                  <c:v>4.18</c:v>
                </c:pt>
                <c:pt idx="7" formatCode="General">
                  <c:v>-2.09</c:v>
                </c:pt>
                <c:pt idx="9" formatCode="General">
                  <c:v>4.5591245223298298</c:v>
                </c:pt>
                <c:pt idx="10" formatCode="General">
                  <c:v>-2.4314701702383235</c:v>
                </c:pt>
              </c:numCache>
            </c:numRef>
          </c:yVal>
          <c:smooth val="0"/>
          <c:extLst>
            <c:ext xmlns:c16="http://schemas.microsoft.com/office/drawing/2014/chart" uri="{C3380CC4-5D6E-409C-BE32-E72D297353CC}">
              <c16:uniqueId val="{00000010-7CF2-4016-A8B7-CE44991D9C4A}"/>
            </c:ext>
          </c:extLst>
        </c:ser>
        <c:dLbls>
          <c:showLegendKey val="0"/>
          <c:showVal val="0"/>
          <c:showCatName val="0"/>
          <c:showSerName val="0"/>
          <c:showPercent val="0"/>
          <c:showBubbleSize val="0"/>
        </c:dLbls>
        <c:axId val="509399560"/>
        <c:axId val="509399952"/>
      </c:scatterChart>
      <c:valAx>
        <c:axId val="509399560"/>
        <c:scaling>
          <c:orientation val="minMax"/>
        </c:scaling>
        <c:delete val="0"/>
        <c:axPos val="b"/>
        <c:title>
          <c:tx>
            <c:rich>
              <a:bodyPr/>
              <a:lstStyle/>
              <a:p>
                <a:pPr>
                  <a:defRPr/>
                </a:pPr>
                <a:r>
                  <a:rPr lang="en-US"/>
                  <a:t>V - Equivalent Airspeed (knots)</a:t>
                </a:r>
              </a:p>
            </c:rich>
          </c:tx>
          <c:overlay val="0"/>
        </c:title>
        <c:numFmt formatCode="General" sourceLinked="1"/>
        <c:majorTickMark val="out"/>
        <c:minorTickMark val="none"/>
        <c:tickLblPos val="nextTo"/>
        <c:crossAx val="509399952"/>
        <c:crosses val="autoZero"/>
        <c:crossBetween val="midCat"/>
      </c:valAx>
      <c:valAx>
        <c:axId val="509399952"/>
        <c:scaling>
          <c:orientation val="minMax"/>
          <c:max val="7"/>
        </c:scaling>
        <c:delete val="0"/>
        <c:axPos val="l"/>
        <c:majorGridlines/>
        <c:title>
          <c:tx>
            <c:rich>
              <a:bodyPr rot="-5400000" vert="horz"/>
              <a:lstStyle/>
              <a:p>
                <a:pPr>
                  <a:defRPr/>
                </a:pPr>
                <a:r>
                  <a:rPr lang="en-US"/>
                  <a:t>n - Load Factor</a:t>
                </a:r>
              </a:p>
            </c:rich>
          </c:tx>
          <c:overlay val="0"/>
        </c:title>
        <c:numFmt formatCode="General" sourceLinked="1"/>
        <c:majorTickMark val="out"/>
        <c:minorTickMark val="none"/>
        <c:tickLblPos val="nextTo"/>
        <c:crossAx val="509399560"/>
        <c:crosses val="autoZero"/>
        <c:crossBetween val="midCat"/>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chemeClr val="bg1">
                  <a:lumMod val="50000"/>
                </a:schemeClr>
              </a:solidFill>
              <a:prstDash val="dash"/>
            </a:ln>
          </c:spPr>
          <c:marker>
            <c:symbol val="none"/>
          </c:marker>
          <c:xVal>
            <c:numRef>
              <c:f>Analysis!$W$198:$W$199</c:f>
              <c:numCache>
                <c:formatCode>0.0</c:formatCode>
                <c:ptCount val="2"/>
                <c:pt idx="0" formatCode="General">
                  <c:v>0</c:v>
                </c:pt>
                <c:pt idx="1">
                  <c:v>120</c:v>
                </c:pt>
              </c:numCache>
            </c:numRef>
          </c:xVal>
          <c:yVal>
            <c:numRef>
              <c:f>Analysis!$X$198:$X$199</c:f>
              <c:numCache>
                <c:formatCode>0.00</c:formatCode>
                <c:ptCount val="2"/>
                <c:pt idx="0" formatCode="General">
                  <c:v>1</c:v>
                </c:pt>
                <c:pt idx="1">
                  <c:v>3.8</c:v>
                </c:pt>
              </c:numCache>
            </c:numRef>
          </c:yVal>
          <c:smooth val="0"/>
          <c:extLst>
            <c:ext xmlns:c16="http://schemas.microsoft.com/office/drawing/2014/chart" uri="{C3380CC4-5D6E-409C-BE32-E72D297353CC}">
              <c16:uniqueId val="{00000000-556D-43FC-9462-40EB90B6A13F}"/>
            </c:ext>
          </c:extLst>
        </c:ser>
        <c:ser>
          <c:idx val="1"/>
          <c:order val="1"/>
          <c:tx>
            <c:v>A</c:v>
          </c:tx>
          <c:spPr>
            <a:ln>
              <a:noFill/>
            </a:ln>
          </c:spPr>
          <c:marker>
            <c:symbol val="circle"/>
            <c:size val="5"/>
            <c:spPr>
              <a:solidFill>
                <a:schemeClr val="tx1"/>
              </a:solidFill>
              <a:ln>
                <a:solidFill>
                  <a:schemeClr val="tx1"/>
                </a:solidFill>
              </a:ln>
            </c:spPr>
          </c:marker>
          <c:dLbls>
            <c:dLbl>
              <c:idx val="0"/>
              <c:dLblPos val="l"/>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556D-43FC-9462-40EB90B6A13F}"/>
                </c:ext>
              </c:extLst>
            </c:dLbl>
            <c:spPr>
              <a:noFill/>
              <a:ln>
                <a:noFill/>
              </a:ln>
              <a:effectLst/>
            </c:spPr>
            <c:dLblPos val="l"/>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xVal>
            <c:numRef>
              <c:f>Analysis!$AT$195</c:f>
              <c:numCache>
                <c:formatCode>0.0</c:formatCode>
                <c:ptCount val="1"/>
                <c:pt idx="0">
                  <c:v>120</c:v>
                </c:pt>
              </c:numCache>
            </c:numRef>
          </c:xVal>
          <c:yVal>
            <c:numRef>
              <c:f>Analysis!$AT$196</c:f>
              <c:numCache>
                <c:formatCode>General</c:formatCode>
                <c:ptCount val="1"/>
                <c:pt idx="0">
                  <c:v>3.8</c:v>
                </c:pt>
              </c:numCache>
            </c:numRef>
          </c:yVal>
          <c:smooth val="0"/>
          <c:extLst>
            <c:ext xmlns:c16="http://schemas.microsoft.com/office/drawing/2014/chart" uri="{C3380CC4-5D6E-409C-BE32-E72D297353CC}">
              <c16:uniqueId val="{00000002-556D-43FC-9462-40EB90B6A13F}"/>
            </c:ext>
          </c:extLst>
        </c:ser>
        <c:ser>
          <c:idx val="2"/>
          <c:order val="2"/>
          <c:tx>
            <c:v>C</c:v>
          </c:tx>
          <c:spPr>
            <a:ln>
              <a:noFill/>
            </a:ln>
          </c:spPr>
          <c:marker>
            <c:symbol val="circle"/>
            <c:size val="5"/>
            <c:spPr>
              <a:solidFill>
                <a:schemeClr val="tx1"/>
              </a:solidFill>
              <a:ln>
                <a:solidFill>
                  <a:schemeClr val="tx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Analysis!$AT$211</c:f>
              <c:numCache>
                <c:formatCode>0.0</c:formatCode>
                <c:ptCount val="1"/>
                <c:pt idx="0">
                  <c:v>160</c:v>
                </c:pt>
              </c:numCache>
            </c:numRef>
          </c:xVal>
          <c:yVal>
            <c:numRef>
              <c:f>Analysis!$AT$212</c:f>
              <c:numCache>
                <c:formatCode>0.00</c:formatCode>
                <c:ptCount val="1"/>
                <c:pt idx="0">
                  <c:v>4.4925653815640638</c:v>
                </c:pt>
              </c:numCache>
            </c:numRef>
          </c:yVal>
          <c:smooth val="0"/>
          <c:extLst>
            <c:ext xmlns:c16="http://schemas.microsoft.com/office/drawing/2014/chart" uri="{C3380CC4-5D6E-409C-BE32-E72D297353CC}">
              <c16:uniqueId val="{00000003-556D-43FC-9462-40EB90B6A13F}"/>
            </c:ext>
          </c:extLst>
        </c:ser>
        <c:ser>
          <c:idx val="3"/>
          <c:order val="3"/>
          <c:tx>
            <c:v>D</c:v>
          </c:tx>
          <c:spPr>
            <a:ln>
              <a:noFill/>
            </a:ln>
          </c:spPr>
          <c:marker>
            <c:symbol val="circle"/>
            <c:size val="5"/>
            <c:spPr>
              <a:solidFill>
                <a:sysClr val="windowText" lastClr="000000"/>
              </a:solidFill>
              <a:ln>
                <a:solidFill>
                  <a:sysClr val="windowText" lastClr="000000"/>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Analysis!$AT$198</c:f>
              <c:numCache>
                <c:formatCode>0.0</c:formatCode>
                <c:ptCount val="1"/>
                <c:pt idx="0">
                  <c:v>190</c:v>
                </c:pt>
              </c:numCache>
            </c:numRef>
          </c:xVal>
          <c:yVal>
            <c:numRef>
              <c:f>Analysis!$AT$199</c:f>
              <c:numCache>
                <c:formatCode>0.00</c:formatCode>
                <c:ptCount val="1"/>
                <c:pt idx="0">
                  <c:v>3.8</c:v>
                </c:pt>
              </c:numCache>
            </c:numRef>
          </c:yVal>
          <c:smooth val="0"/>
          <c:extLst>
            <c:ext xmlns:c16="http://schemas.microsoft.com/office/drawing/2014/chart" uri="{C3380CC4-5D6E-409C-BE32-E72D297353CC}">
              <c16:uniqueId val="{00000004-556D-43FC-9462-40EB90B6A13F}"/>
            </c:ext>
          </c:extLst>
        </c:ser>
        <c:ser>
          <c:idx val="4"/>
          <c:order val="4"/>
          <c:tx>
            <c:v>F</c:v>
          </c:tx>
          <c:marker>
            <c:symbol val="circle"/>
            <c:size val="5"/>
            <c:spPr>
              <a:solidFill>
                <a:sysClr val="windowText" lastClr="000000"/>
              </a:solidFill>
              <a:ln>
                <a:solidFill>
                  <a:sysClr val="windowText" lastClr="000000"/>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Analysis!$AT$204</c:f>
              <c:numCache>
                <c:formatCode>0.0</c:formatCode>
                <c:ptCount val="1"/>
                <c:pt idx="0">
                  <c:v>160</c:v>
                </c:pt>
              </c:numCache>
            </c:numRef>
          </c:xVal>
          <c:yVal>
            <c:numRef>
              <c:f>Analysis!$AT$205</c:f>
              <c:numCache>
                <c:formatCode>0.00</c:formatCode>
                <c:ptCount val="1"/>
                <c:pt idx="0">
                  <c:v>-2.5007680302464017</c:v>
                </c:pt>
              </c:numCache>
            </c:numRef>
          </c:yVal>
          <c:smooth val="0"/>
          <c:extLst>
            <c:ext xmlns:c16="http://schemas.microsoft.com/office/drawing/2014/chart" uri="{C3380CC4-5D6E-409C-BE32-E72D297353CC}">
              <c16:uniqueId val="{00000005-556D-43FC-9462-40EB90B6A13F}"/>
            </c:ext>
          </c:extLst>
        </c:ser>
        <c:ser>
          <c:idx val="5"/>
          <c:order val="5"/>
          <c:marker>
            <c:symbol val="circle"/>
            <c:size val="5"/>
            <c:spPr>
              <a:solidFill>
                <a:sysClr val="windowText" lastClr="000000"/>
              </a:solidFill>
              <a:ln>
                <a:solidFill>
                  <a:sysClr val="windowText" lastClr="000000"/>
                </a:solidFill>
              </a:ln>
            </c:spPr>
          </c:marker>
          <c:xVal>
            <c:numRef>
              <c:f>Analysis!$AT$201</c:f>
              <c:numCache>
                <c:formatCode>0.0</c:formatCode>
                <c:ptCount val="1"/>
                <c:pt idx="0">
                  <c:v>190</c:v>
                </c:pt>
              </c:numCache>
            </c:numRef>
          </c:xVal>
          <c:yVal>
            <c:numRef>
              <c:f>Analysis!$AT$202</c:f>
              <c:numCache>
                <c:formatCode>0.00</c:formatCode>
                <c:ptCount val="1"/>
                <c:pt idx="0">
                  <c:v>-1.9</c:v>
                </c:pt>
              </c:numCache>
            </c:numRef>
          </c:yVal>
          <c:smooth val="0"/>
          <c:extLst>
            <c:ext xmlns:c16="http://schemas.microsoft.com/office/drawing/2014/chart" uri="{C3380CC4-5D6E-409C-BE32-E72D297353CC}">
              <c16:uniqueId val="{00000006-556D-43FC-9462-40EB90B6A13F}"/>
            </c:ext>
          </c:extLst>
        </c:ser>
        <c:ser>
          <c:idx val="6"/>
          <c:order val="6"/>
          <c:spPr>
            <a:ln w="12700">
              <a:solidFill>
                <a:schemeClr val="bg1">
                  <a:lumMod val="50000"/>
                </a:schemeClr>
              </a:solidFill>
              <a:prstDash val="dash"/>
            </a:ln>
          </c:spPr>
          <c:marker>
            <c:symbol val="none"/>
          </c:marker>
          <c:xVal>
            <c:numRef>
              <c:f>Analysis!$W$198:$W$199</c:f>
              <c:numCache>
                <c:formatCode>0.0</c:formatCode>
                <c:ptCount val="2"/>
                <c:pt idx="0" formatCode="General">
                  <c:v>0</c:v>
                </c:pt>
                <c:pt idx="1">
                  <c:v>120</c:v>
                </c:pt>
              </c:numCache>
            </c:numRef>
          </c:xVal>
          <c:yVal>
            <c:numRef>
              <c:f>Analysis!$Y$198:$Y$199</c:f>
              <c:numCache>
                <c:formatCode>0.00</c:formatCode>
                <c:ptCount val="2"/>
                <c:pt idx="0" formatCode="General">
                  <c:v>1</c:v>
                </c:pt>
                <c:pt idx="1">
                  <c:v>-1.9</c:v>
                </c:pt>
              </c:numCache>
            </c:numRef>
          </c:yVal>
          <c:smooth val="0"/>
          <c:extLst>
            <c:ext xmlns:c16="http://schemas.microsoft.com/office/drawing/2014/chart" uri="{C3380CC4-5D6E-409C-BE32-E72D297353CC}">
              <c16:uniqueId val="{00000007-556D-43FC-9462-40EB90B6A13F}"/>
            </c:ext>
          </c:extLst>
        </c:ser>
        <c:ser>
          <c:idx val="7"/>
          <c:order val="7"/>
          <c:spPr>
            <a:ln w="12700">
              <a:solidFill>
                <a:schemeClr val="bg1">
                  <a:lumMod val="50000"/>
                </a:schemeClr>
              </a:solidFill>
              <a:prstDash val="dash"/>
            </a:ln>
          </c:spPr>
          <c:marker>
            <c:symbol val="none"/>
          </c:marker>
          <c:xVal>
            <c:numRef>
              <c:f>Analysis!$W$198:$W$203</c:f>
              <c:numCache>
                <c:formatCode>0.0</c:formatCode>
                <c:ptCount val="6"/>
                <c:pt idx="0" formatCode="General">
                  <c:v>0</c:v>
                </c:pt>
                <c:pt idx="1">
                  <c:v>120</c:v>
                </c:pt>
                <c:pt idx="4" formatCode="General">
                  <c:v>0</c:v>
                </c:pt>
                <c:pt idx="5">
                  <c:v>190</c:v>
                </c:pt>
              </c:numCache>
            </c:numRef>
          </c:xVal>
          <c:yVal>
            <c:numRef>
              <c:f>Analysis!$Z$198:$Z$203</c:f>
              <c:numCache>
                <c:formatCode>General</c:formatCode>
                <c:ptCount val="6"/>
                <c:pt idx="0">
                  <c:v>1</c:v>
                </c:pt>
                <c:pt idx="4">
                  <c:v>1</c:v>
                </c:pt>
                <c:pt idx="5" formatCode="0.00">
                  <c:v>3.8</c:v>
                </c:pt>
              </c:numCache>
            </c:numRef>
          </c:yVal>
          <c:smooth val="0"/>
          <c:extLst>
            <c:ext xmlns:c16="http://schemas.microsoft.com/office/drawing/2014/chart" uri="{C3380CC4-5D6E-409C-BE32-E72D297353CC}">
              <c16:uniqueId val="{00000008-556D-43FC-9462-40EB90B6A13F}"/>
            </c:ext>
          </c:extLst>
        </c:ser>
        <c:ser>
          <c:idx val="8"/>
          <c:order val="8"/>
          <c:spPr>
            <a:ln w="12700">
              <a:solidFill>
                <a:schemeClr val="bg1">
                  <a:lumMod val="50000"/>
                </a:schemeClr>
              </a:solidFill>
              <a:prstDash val="dash"/>
            </a:ln>
          </c:spPr>
          <c:marker>
            <c:symbol val="none"/>
          </c:marker>
          <c:xVal>
            <c:numRef>
              <c:f>Analysis!$W$198:$W$203</c:f>
              <c:numCache>
                <c:formatCode>0.0</c:formatCode>
                <c:ptCount val="6"/>
                <c:pt idx="0" formatCode="General">
                  <c:v>0</c:v>
                </c:pt>
                <c:pt idx="1">
                  <c:v>120</c:v>
                </c:pt>
                <c:pt idx="4" formatCode="General">
                  <c:v>0</c:v>
                </c:pt>
                <c:pt idx="5">
                  <c:v>190</c:v>
                </c:pt>
              </c:numCache>
            </c:numRef>
          </c:xVal>
          <c:yVal>
            <c:numRef>
              <c:f>Analysis!$AA$198:$AA$203</c:f>
              <c:numCache>
                <c:formatCode>General</c:formatCode>
                <c:ptCount val="6"/>
                <c:pt idx="0">
                  <c:v>1</c:v>
                </c:pt>
                <c:pt idx="4">
                  <c:v>1</c:v>
                </c:pt>
                <c:pt idx="5" formatCode="0.00">
                  <c:v>-1.9</c:v>
                </c:pt>
              </c:numCache>
            </c:numRef>
          </c:yVal>
          <c:smooth val="0"/>
          <c:extLst>
            <c:ext xmlns:c16="http://schemas.microsoft.com/office/drawing/2014/chart" uri="{C3380CC4-5D6E-409C-BE32-E72D297353CC}">
              <c16:uniqueId val="{00000009-556D-43FC-9462-40EB90B6A13F}"/>
            </c:ext>
          </c:extLst>
        </c:ser>
        <c:ser>
          <c:idx val="9"/>
          <c:order val="9"/>
          <c:spPr>
            <a:ln w="19050">
              <a:solidFill>
                <a:schemeClr val="tx1"/>
              </a:solidFill>
            </a:ln>
          </c:spPr>
          <c:marker>
            <c:symbol val="none"/>
          </c:marker>
          <c:xVal>
            <c:numRef>
              <c:f>Analysis!$AD$199:$AD$204</c:f>
              <c:numCache>
                <c:formatCode>0.0</c:formatCode>
                <c:ptCount val="6"/>
                <c:pt idx="0">
                  <c:v>120</c:v>
                </c:pt>
                <c:pt idx="1">
                  <c:v>160</c:v>
                </c:pt>
                <c:pt idx="2">
                  <c:v>190</c:v>
                </c:pt>
                <c:pt idx="3">
                  <c:v>190</c:v>
                </c:pt>
                <c:pt idx="4">
                  <c:v>160</c:v>
                </c:pt>
                <c:pt idx="5">
                  <c:v>120</c:v>
                </c:pt>
              </c:numCache>
            </c:numRef>
          </c:xVal>
          <c:yVal>
            <c:numRef>
              <c:f>Analysis!$AE$199:$AE$204</c:f>
              <c:numCache>
                <c:formatCode>0.00</c:formatCode>
                <c:ptCount val="6"/>
                <c:pt idx="0" formatCode="General">
                  <c:v>3.8</c:v>
                </c:pt>
                <c:pt idx="1">
                  <c:v>4.4925653815640638</c:v>
                </c:pt>
                <c:pt idx="2">
                  <c:v>3.8</c:v>
                </c:pt>
                <c:pt idx="3">
                  <c:v>-1.9</c:v>
                </c:pt>
                <c:pt idx="4">
                  <c:v>-2.5007680302464017</c:v>
                </c:pt>
                <c:pt idx="5">
                  <c:v>-1.9</c:v>
                </c:pt>
              </c:numCache>
            </c:numRef>
          </c:yVal>
          <c:smooth val="0"/>
          <c:extLst>
            <c:ext xmlns:c16="http://schemas.microsoft.com/office/drawing/2014/chart" uri="{C3380CC4-5D6E-409C-BE32-E72D297353CC}">
              <c16:uniqueId val="{0000000A-556D-43FC-9462-40EB90B6A13F}"/>
            </c:ext>
          </c:extLst>
        </c:ser>
        <c:ser>
          <c:idx val="10"/>
          <c:order val="10"/>
          <c:marker>
            <c:symbol val="circle"/>
            <c:size val="5"/>
            <c:spPr>
              <a:solidFill>
                <a:sysClr val="windowText" lastClr="000000"/>
              </a:solidFill>
              <a:ln>
                <a:solidFill>
                  <a:prstClr val="white">
                    <a:lumMod val="50000"/>
                  </a:prstClr>
                </a:solidFill>
              </a:ln>
            </c:spPr>
          </c:marker>
          <c:xVal>
            <c:numRef>
              <c:f>Analysis!$AT$207</c:f>
              <c:numCache>
                <c:formatCode>0.0</c:formatCode>
                <c:ptCount val="1"/>
                <c:pt idx="0">
                  <c:v>120</c:v>
                </c:pt>
              </c:numCache>
            </c:numRef>
          </c:xVal>
          <c:yVal>
            <c:numRef>
              <c:f>Analysis!$AT$208</c:f>
              <c:numCache>
                <c:formatCode>0.00</c:formatCode>
                <c:ptCount val="1"/>
                <c:pt idx="0">
                  <c:v>-1.9</c:v>
                </c:pt>
              </c:numCache>
            </c:numRef>
          </c:yVal>
          <c:smooth val="0"/>
          <c:extLst>
            <c:ext xmlns:c16="http://schemas.microsoft.com/office/drawing/2014/chart" uri="{C3380CC4-5D6E-409C-BE32-E72D297353CC}">
              <c16:uniqueId val="{0000000B-556D-43FC-9462-40EB90B6A13F}"/>
            </c:ext>
          </c:extLst>
        </c:ser>
        <c:ser>
          <c:idx val="11"/>
          <c:order val="11"/>
          <c:tx>
            <c:v>G</c:v>
          </c:tx>
          <c:spPr>
            <a:ln w="19050">
              <a:solidFill>
                <a:schemeClr val="tx1"/>
              </a:solidFill>
            </a:ln>
          </c:spPr>
          <c:marker>
            <c:symbol val="none"/>
          </c:marker>
          <c:dLbls>
            <c:dLbl>
              <c:idx val="0"/>
              <c:dLblPos val="l"/>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556D-43FC-9462-40EB90B6A1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Analysis!$AJ$194:$AJ$210</c:f>
              <c:numCache>
                <c:formatCode>General</c:formatCode>
                <c:ptCount val="17"/>
                <c:pt idx="0" formatCode="0.0">
                  <c:v>120</c:v>
                </c:pt>
                <c:pt idx="1">
                  <c:v>114.41551070947108</c:v>
                </c:pt>
                <c:pt idx="2">
                  <c:v>104.4465935734187</c:v>
                </c:pt>
                <c:pt idx="3">
                  <c:v>91.605722482868885</c:v>
                </c:pt>
                <c:pt idx="4">
                  <c:v>77.420966113876361</c:v>
                </c:pt>
                <c:pt idx="5">
                  <c:v>63.213954124101384</c:v>
                </c:pt>
                <c:pt idx="6">
                  <c:v>49.975018734388655</c:v>
                </c:pt>
                <c:pt idx="7">
                  <c:v>47.649310760087197</c:v>
                </c:pt>
                <c:pt idx="8">
                  <c:v>35.515699313522376</c:v>
                </c:pt>
                <c:pt idx="9">
                  <c:v>25.765796358008931</c:v>
                </c:pt>
                <c:pt idx="10">
                  <c:v>18.219169327419767</c:v>
                </c:pt>
                <c:pt idx="11">
                  <c:v>12.882898179004465</c:v>
                </c:pt>
                <c:pt idx="12">
                  <c:v>9.1095846637098834</c:v>
                </c:pt>
                <c:pt idx="13">
                  <c:v>6.4414490895022327</c:v>
                </c:pt>
                <c:pt idx="14">
                  <c:v>4.5547923318549417</c:v>
                </c:pt>
                <c:pt idx="15">
                  <c:v>3.2207245447511164</c:v>
                </c:pt>
              </c:numCache>
            </c:numRef>
          </c:xVal>
          <c:yVal>
            <c:numRef>
              <c:f>Analysis!$AL$194:$AL$210</c:f>
              <c:numCache>
                <c:formatCode>General</c:formatCode>
                <c:ptCount val="17"/>
                <c:pt idx="0">
                  <c:v>-1.9</c:v>
                </c:pt>
                <c:pt idx="1">
                  <c:v>-1.7272727272727271</c:v>
                </c:pt>
                <c:pt idx="2">
                  <c:v>-1.4393939393939392</c:v>
                </c:pt>
                <c:pt idx="3">
                  <c:v>-1.1072261072261071</c:v>
                </c:pt>
                <c:pt idx="4">
                  <c:v>-0.79087579087579085</c:v>
                </c:pt>
                <c:pt idx="5">
                  <c:v>-0.52725052725052723</c:v>
                </c:pt>
                <c:pt idx="6">
                  <c:v>-0.32953157953157952</c:v>
                </c:pt>
                <c:pt idx="7">
                  <c:v>-0.29957416321052682</c:v>
                </c:pt>
                <c:pt idx="8">
                  <c:v>-0.16643009067251491</c:v>
                </c:pt>
                <c:pt idx="9">
                  <c:v>-8.759478456448154E-2</c:v>
                </c:pt>
                <c:pt idx="10">
                  <c:v>-4.379739228224077E-2</c:v>
                </c:pt>
                <c:pt idx="11">
                  <c:v>-2.1898696141120385E-2</c:v>
                </c:pt>
                <c:pt idx="12">
                  <c:v>-1.0949348070560192E-2</c:v>
                </c:pt>
                <c:pt idx="13">
                  <c:v>-5.4746740352800962E-3</c:v>
                </c:pt>
                <c:pt idx="14">
                  <c:v>-2.7373370176400481E-3</c:v>
                </c:pt>
                <c:pt idx="15">
                  <c:v>-1.3686685088200241E-3</c:v>
                </c:pt>
                <c:pt idx="16">
                  <c:v>0</c:v>
                </c:pt>
              </c:numCache>
            </c:numRef>
          </c:yVal>
          <c:smooth val="0"/>
          <c:extLst>
            <c:ext xmlns:c16="http://schemas.microsoft.com/office/drawing/2014/chart" uri="{C3380CC4-5D6E-409C-BE32-E72D297353CC}">
              <c16:uniqueId val="{0000000D-556D-43FC-9462-40EB90B6A13F}"/>
            </c:ext>
          </c:extLst>
        </c:ser>
        <c:ser>
          <c:idx val="12"/>
          <c:order val="12"/>
          <c:spPr>
            <a:ln w="19050">
              <a:solidFill>
                <a:schemeClr val="tx1"/>
              </a:solidFill>
            </a:ln>
          </c:spPr>
          <c:marker>
            <c:symbol val="none"/>
          </c:marker>
          <c:xVal>
            <c:numRef>
              <c:f>Analysis!$AN$194:$AN$210</c:f>
              <c:numCache>
                <c:formatCode>General</c:formatCode>
                <c:ptCount val="17"/>
                <c:pt idx="0" formatCode="0.0">
                  <c:v>120</c:v>
                </c:pt>
                <c:pt idx="1">
                  <c:v>114.41551070947108</c:v>
                </c:pt>
                <c:pt idx="2">
                  <c:v>104.4465935734187</c:v>
                </c:pt>
                <c:pt idx="3">
                  <c:v>91.605722482868885</c:v>
                </c:pt>
                <c:pt idx="4">
                  <c:v>77.420966113876389</c:v>
                </c:pt>
                <c:pt idx="5">
                  <c:v>63.213954124101392</c:v>
                </c:pt>
                <c:pt idx="6">
                  <c:v>49.975018734388655</c:v>
                </c:pt>
                <c:pt idx="7">
                  <c:v>47.649310760087197</c:v>
                </c:pt>
                <c:pt idx="8">
                  <c:v>35.515699313522383</c:v>
                </c:pt>
                <c:pt idx="9">
                  <c:v>25.765796358008934</c:v>
                </c:pt>
                <c:pt idx="10">
                  <c:v>18.219169327419767</c:v>
                </c:pt>
                <c:pt idx="11">
                  <c:v>12.882898179004467</c:v>
                </c:pt>
                <c:pt idx="12">
                  <c:v>9.1095846637098834</c:v>
                </c:pt>
                <c:pt idx="13">
                  <c:v>6.4414490895022336</c:v>
                </c:pt>
                <c:pt idx="14">
                  <c:v>4.5547923318549417</c:v>
                </c:pt>
                <c:pt idx="15">
                  <c:v>3.2207245447511168</c:v>
                </c:pt>
                <c:pt idx="16">
                  <c:v>0</c:v>
                </c:pt>
              </c:numCache>
            </c:numRef>
          </c:xVal>
          <c:yVal>
            <c:numRef>
              <c:f>Analysis!$AO$194:$AO$210</c:f>
              <c:numCache>
                <c:formatCode>General</c:formatCode>
                <c:ptCount val="17"/>
                <c:pt idx="0">
                  <c:v>3.8</c:v>
                </c:pt>
                <c:pt idx="1">
                  <c:v>3.4545454545454541</c:v>
                </c:pt>
                <c:pt idx="2">
                  <c:v>2.8787878787878785</c:v>
                </c:pt>
                <c:pt idx="3">
                  <c:v>2.2144522144522143</c:v>
                </c:pt>
                <c:pt idx="4">
                  <c:v>1.5817515817515817</c:v>
                </c:pt>
                <c:pt idx="5">
                  <c:v>1.0545010545010545</c:v>
                </c:pt>
                <c:pt idx="6">
                  <c:v>0.65906315906315904</c:v>
                </c:pt>
                <c:pt idx="7">
                  <c:v>0.59914832642105365</c:v>
                </c:pt>
                <c:pt idx="8">
                  <c:v>0.33286018134502982</c:v>
                </c:pt>
                <c:pt idx="9">
                  <c:v>0.17518956912896308</c:v>
                </c:pt>
                <c:pt idx="10">
                  <c:v>8.759478456448154E-2</c:v>
                </c:pt>
                <c:pt idx="11">
                  <c:v>4.379739228224077E-2</c:v>
                </c:pt>
                <c:pt idx="12">
                  <c:v>2.1898696141120385E-2</c:v>
                </c:pt>
                <c:pt idx="13">
                  <c:v>1.0949348070560192E-2</c:v>
                </c:pt>
                <c:pt idx="14">
                  <c:v>5.4746740352800962E-3</c:v>
                </c:pt>
                <c:pt idx="15">
                  <c:v>2.7373370176400481E-3</c:v>
                </c:pt>
                <c:pt idx="16">
                  <c:v>0</c:v>
                </c:pt>
              </c:numCache>
            </c:numRef>
          </c:yVal>
          <c:smooth val="0"/>
          <c:extLst>
            <c:ext xmlns:c16="http://schemas.microsoft.com/office/drawing/2014/chart" uri="{C3380CC4-5D6E-409C-BE32-E72D297353CC}">
              <c16:uniqueId val="{0000000E-556D-43FC-9462-40EB90B6A13F}"/>
            </c:ext>
          </c:extLst>
        </c:ser>
        <c:ser>
          <c:idx val="13"/>
          <c:order val="13"/>
          <c:spPr>
            <a:ln w="15875">
              <a:solidFill>
                <a:schemeClr val="tx1"/>
              </a:solidFill>
              <a:prstDash val="lgDashDot"/>
            </a:ln>
          </c:spPr>
          <c:marker>
            <c:symbol val="none"/>
          </c:marker>
          <c:xVal>
            <c:numRef>
              <c:f>Analysis!$AG$200:$AG$210</c:f>
              <c:numCache>
                <c:formatCode>0.0</c:formatCode>
                <c:ptCount val="11"/>
                <c:pt idx="0">
                  <c:v>120</c:v>
                </c:pt>
                <c:pt idx="1">
                  <c:v>190</c:v>
                </c:pt>
                <c:pt idx="3">
                  <c:v>120</c:v>
                </c:pt>
                <c:pt idx="4">
                  <c:v>190</c:v>
                </c:pt>
                <c:pt idx="6">
                  <c:v>120</c:v>
                </c:pt>
                <c:pt idx="7">
                  <c:v>120</c:v>
                </c:pt>
                <c:pt idx="9">
                  <c:v>160</c:v>
                </c:pt>
                <c:pt idx="10">
                  <c:v>160</c:v>
                </c:pt>
              </c:numCache>
            </c:numRef>
          </c:xVal>
          <c:yVal>
            <c:numRef>
              <c:f>Analysis!$AH$200:$AH$210</c:f>
              <c:numCache>
                <c:formatCode>0.00</c:formatCode>
                <c:ptCount val="11"/>
                <c:pt idx="0">
                  <c:v>3.8</c:v>
                </c:pt>
                <c:pt idx="1">
                  <c:v>3.8</c:v>
                </c:pt>
                <c:pt idx="3">
                  <c:v>-1.9</c:v>
                </c:pt>
                <c:pt idx="4">
                  <c:v>-1.9</c:v>
                </c:pt>
                <c:pt idx="6" formatCode="General">
                  <c:v>4.18</c:v>
                </c:pt>
                <c:pt idx="7" formatCode="General">
                  <c:v>-2.09</c:v>
                </c:pt>
                <c:pt idx="9" formatCode="General">
                  <c:v>4.9418219197204705</c:v>
                </c:pt>
                <c:pt idx="10" formatCode="General">
                  <c:v>-2.7508448332710422</c:v>
                </c:pt>
              </c:numCache>
            </c:numRef>
          </c:yVal>
          <c:smooth val="0"/>
          <c:extLst>
            <c:ext xmlns:c16="http://schemas.microsoft.com/office/drawing/2014/chart" uri="{C3380CC4-5D6E-409C-BE32-E72D297353CC}">
              <c16:uniqueId val="{0000000F-556D-43FC-9462-40EB90B6A13F}"/>
            </c:ext>
          </c:extLst>
        </c:ser>
        <c:dLbls>
          <c:showLegendKey val="0"/>
          <c:showVal val="0"/>
          <c:showCatName val="0"/>
          <c:showSerName val="0"/>
          <c:showPercent val="0"/>
          <c:showBubbleSize val="0"/>
        </c:dLbls>
        <c:axId val="509399560"/>
        <c:axId val="509399952"/>
      </c:scatterChart>
      <c:valAx>
        <c:axId val="509399560"/>
        <c:scaling>
          <c:orientation val="minMax"/>
        </c:scaling>
        <c:delete val="0"/>
        <c:axPos val="b"/>
        <c:title>
          <c:tx>
            <c:rich>
              <a:bodyPr/>
              <a:lstStyle/>
              <a:p>
                <a:pPr>
                  <a:defRPr/>
                </a:pPr>
                <a:r>
                  <a:rPr lang="en-US"/>
                  <a:t>V - Equivalent Airspeed (knots)</a:t>
                </a:r>
              </a:p>
            </c:rich>
          </c:tx>
          <c:overlay val="0"/>
        </c:title>
        <c:numFmt formatCode="General" sourceLinked="1"/>
        <c:majorTickMark val="out"/>
        <c:minorTickMark val="none"/>
        <c:tickLblPos val="nextTo"/>
        <c:crossAx val="509399952"/>
        <c:crosses val="autoZero"/>
        <c:crossBetween val="midCat"/>
      </c:valAx>
      <c:valAx>
        <c:axId val="509399952"/>
        <c:scaling>
          <c:orientation val="minMax"/>
          <c:max val="7"/>
          <c:min val="-3"/>
        </c:scaling>
        <c:delete val="0"/>
        <c:axPos val="l"/>
        <c:majorGridlines/>
        <c:title>
          <c:tx>
            <c:rich>
              <a:bodyPr rot="-5400000" vert="horz"/>
              <a:lstStyle/>
              <a:p>
                <a:pPr>
                  <a:defRPr/>
                </a:pPr>
                <a:r>
                  <a:rPr lang="en-US"/>
                  <a:t>n - Load Factor</a:t>
                </a:r>
              </a:p>
            </c:rich>
          </c:tx>
          <c:overlay val="0"/>
        </c:title>
        <c:numFmt formatCode="General" sourceLinked="1"/>
        <c:majorTickMark val="out"/>
        <c:minorTickMark val="none"/>
        <c:tickLblPos val="nextTo"/>
        <c:crossAx val="509399560"/>
        <c:crosses val="autoZero"/>
        <c:crossBetween val="midCat"/>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3161978822615E-2"/>
          <c:y val="4.4770044770044773E-2"/>
          <c:w val="0.86843269753111951"/>
          <c:h val="0.82125368169671653"/>
        </c:manualLayout>
      </c:layout>
      <c:scatterChart>
        <c:scatterStyle val="lineMarker"/>
        <c:varyColors val="0"/>
        <c:ser>
          <c:idx val="7"/>
          <c:order val="0"/>
          <c:spPr>
            <a:ln w="22225" cap="rnd">
              <a:solidFill>
                <a:srgbClr val="FF0000"/>
              </a:solidFill>
              <a:round/>
            </a:ln>
            <a:effectLst/>
          </c:spPr>
          <c:marker>
            <c:symbol val="none"/>
          </c:marker>
          <c:xVal>
            <c:numRef>
              <c:f>Analysis!$AB$231:$AB$237</c:f>
              <c:numCache>
                <c:formatCode>0.0</c:formatCode>
                <c:ptCount val="7"/>
                <c:pt idx="0">
                  <c:v>48.223350253807105</c:v>
                </c:pt>
                <c:pt idx="1">
                  <c:v>48.223350253807105</c:v>
                </c:pt>
                <c:pt idx="2" formatCode="General">
                  <c:v>0</c:v>
                </c:pt>
                <c:pt idx="4">
                  <c:v>48.223350253807105</c:v>
                </c:pt>
                <c:pt idx="5">
                  <c:v>48.223350253807105</c:v>
                </c:pt>
                <c:pt idx="6" formatCode="General">
                  <c:v>0</c:v>
                </c:pt>
              </c:numCache>
            </c:numRef>
          </c:xVal>
          <c:yVal>
            <c:numRef>
              <c:f>Analysis!$AC$231:$AC$237</c:f>
              <c:numCache>
                <c:formatCode>General</c:formatCode>
                <c:ptCount val="7"/>
                <c:pt idx="0">
                  <c:v>0</c:v>
                </c:pt>
                <c:pt idx="1">
                  <c:v>25.751269035532996</c:v>
                </c:pt>
                <c:pt idx="2">
                  <c:v>25.751269035532996</c:v>
                </c:pt>
                <c:pt idx="4">
                  <c:v>0</c:v>
                </c:pt>
                <c:pt idx="5">
                  <c:v>30.551269035532997</c:v>
                </c:pt>
                <c:pt idx="6">
                  <c:v>30.551269035532997</c:v>
                </c:pt>
              </c:numCache>
            </c:numRef>
          </c:yVal>
          <c:smooth val="0"/>
          <c:extLst>
            <c:ext xmlns:c16="http://schemas.microsoft.com/office/drawing/2014/chart" uri="{C3380CC4-5D6E-409C-BE32-E72D297353CC}">
              <c16:uniqueId val="{00000002-36B3-438F-98FE-1634F886FB73}"/>
            </c:ext>
          </c:extLst>
        </c:ser>
        <c:ser>
          <c:idx val="4"/>
          <c:order val="1"/>
          <c:spPr>
            <a:ln w="19050" cap="rnd">
              <a:solidFill>
                <a:schemeClr val="tx1"/>
              </a:solidFill>
              <a:round/>
            </a:ln>
            <a:effectLst/>
          </c:spPr>
          <c:marker>
            <c:symbol val="none"/>
          </c:marker>
          <c:xVal>
            <c:numRef>
              <c:f>Analysis!$X$227:$X$251</c:f>
              <c:numCache>
                <c:formatCode>0.0</c:formatCode>
                <c:ptCount val="25"/>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43</c:v>
                </c:pt>
                <c:pt idx="15">
                  <c:v>45</c:v>
                </c:pt>
                <c:pt idx="16">
                  <c:v>47</c:v>
                </c:pt>
                <c:pt idx="17">
                  <c:v>49</c:v>
                </c:pt>
                <c:pt idx="18">
                  <c:v>59</c:v>
                </c:pt>
                <c:pt idx="19">
                  <c:v>69</c:v>
                </c:pt>
                <c:pt idx="20">
                  <c:v>79</c:v>
                </c:pt>
                <c:pt idx="21">
                  <c:v>89</c:v>
                </c:pt>
                <c:pt idx="22">
                  <c:v>99</c:v>
                </c:pt>
                <c:pt idx="23">
                  <c:v>109</c:v>
                </c:pt>
                <c:pt idx="24">
                  <c:v>120</c:v>
                </c:pt>
              </c:numCache>
            </c:numRef>
          </c:xVal>
          <c:yVal>
            <c:numRef>
              <c:f>Analysis!$Z$227:$Z$251</c:f>
              <c:numCache>
                <c:formatCode>General</c:formatCode>
                <c:ptCount val="25"/>
                <c:pt idx="3">
                  <c:v>9.6059999999999999</c:v>
                </c:pt>
                <c:pt idx="4">
                  <c:v>10.673999999999999</c:v>
                </c:pt>
                <c:pt idx="5">
                  <c:v>11.742000000000001</c:v>
                </c:pt>
                <c:pt idx="6">
                  <c:v>12.809999999999999</c:v>
                </c:pt>
                <c:pt idx="7">
                  <c:v>13.878</c:v>
                </c:pt>
                <c:pt idx="8">
                  <c:v>16.013999999999999</c:v>
                </c:pt>
                <c:pt idx="9">
                  <c:v>18.150000000000002</c:v>
                </c:pt>
                <c:pt idx="10">
                  <c:v>20.286000000000001</c:v>
                </c:pt>
                <c:pt idx="11">
                  <c:v>22.422000000000001</c:v>
                </c:pt>
                <c:pt idx="12">
                  <c:v>24.558000000000003</c:v>
                </c:pt>
                <c:pt idx="13">
                  <c:v>26.694000000000003</c:v>
                </c:pt>
                <c:pt idx="14">
                  <c:v>27.762</c:v>
                </c:pt>
                <c:pt idx="15">
                  <c:v>28.830000000000002</c:v>
                </c:pt>
                <c:pt idx="16">
                  <c:v>29.898000000000003</c:v>
                </c:pt>
                <c:pt idx="17">
                  <c:v>30.966000000000001</c:v>
                </c:pt>
                <c:pt idx="18">
                  <c:v>36.305999999999997</c:v>
                </c:pt>
                <c:pt idx="19">
                  <c:v>41.646000000000001</c:v>
                </c:pt>
                <c:pt idx="20">
                  <c:v>46.985999999999997</c:v>
                </c:pt>
                <c:pt idx="21">
                  <c:v>52.326000000000001</c:v>
                </c:pt>
                <c:pt idx="22">
                  <c:v>57.665999999999997</c:v>
                </c:pt>
                <c:pt idx="23">
                  <c:v>63.006</c:v>
                </c:pt>
                <c:pt idx="24">
                  <c:v>68.88</c:v>
                </c:pt>
              </c:numCache>
            </c:numRef>
          </c:yVal>
          <c:smooth val="0"/>
          <c:extLst>
            <c:ext xmlns:c16="http://schemas.microsoft.com/office/drawing/2014/chart" uri="{C3380CC4-5D6E-409C-BE32-E72D297353CC}">
              <c16:uniqueId val="{00000006-36B3-438F-98FE-1634F886FB73}"/>
            </c:ext>
          </c:extLst>
        </c:ser>
        <c:ser>
          <c:idx val="5"/>
          <c:order val="2"/>
          <c:spPr>
            <a:ln w="19050" cap="rnd">
              <a:solidFill>
                <a:schemeClr val="tx1"/>
              </a:solidFill>
              <a:round/>
            </a:ln>
            <a:effectLst/>
          </c:spPr>
          <c:marker>
            <c:symbol val="none"/>
          </c:marker>
          <c:xVal>
            <c:numRef>
              <c:f>Analysis!$X$227:$X$251</c:f>
              <c:numCache>
                <c:formatCode>0.0</c:formatCode>
                <c:ptCount val="25"/>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43</c:v>
                </c:pt>
                <c:pt idx="15">
                  <c:v>45</c:v>
                </c:pt>
                <c:pt idx="16">
                  <c:v>47</c:v>
                </c:pt>
                <c:pt idx="17">
                  <c:v>49</c:v>
                </c:pt>
                <c:pt idx="18">
                  <c:v>59</c:v>
                </c:pt>
                <c:pt idx="19">
                  <c:v>69</c:v>
                </c:pt>
                <c:pt idx="20">
                  <c:v>79</c:v>
                </c:pt>
                <c:pt idx="21">
                  <c:v>89</c:v>
                </c:pt>
                <c:pt idx="22">
                  <c:v>99</c:v>
                </c:pt>
                <c:pt idx="23">
                  <c:v>109</c:v>
                </c:pt>
                <c:pt idx="24">
                  <c:v>120</c:v>
                </c:pt>
              </c:numCache>
            </c:numRef>
          </c:xVal>
          <c:yVal>
            <c:numRef>
              <c:f>Analysis!$Y$227:$Y$251</c:f>
              <c:numCache>
                <c:formatCode>General</c:formatCode>
                <c:ptCount val="25"/>
                <c:pt idx="3">
                  <c:v>10.98</c:v>
                </c:pt>
                <c:pt idx="4">
                  <c:v>12.138846732700763</c:v>
                </c:pt>
                <c:pt idx="5">
                  <c:v>13.196317668198201</c:v>
                </c:pt>
                <c:pt idx="6">
                  <c:v>14.175119047119146</c:v>
                </c:pt>
                <c:pt idx="7">
                  <c:v>15.090566589760638</c:v>
                </c:pt>
                <c:pt idx="8">
                  <c:v>16.772227043538376</c:v>
                </c:pt>
                <c:pt idx="9">
                  <c:v>18.3</c:v>
                </c:pt>
                <c:pt idx="10">
                  <c:v>19.709703194112283</c:v>
                </c:pt>
                <c:pt idx="11">
                  <c:v>21.025099286329187</c:v>
                </c:pt>
                <c:pt idx="12">
                  <c:v>22.262910860891484</c:v>
                </c:pt>
                <c:pt idx="13">
                  <c:v>23.435434709004227</c:v>
                </c:pt>
                <c:pt idx="14">
                  <c:v>24.000224998945324</c:v>
                </c:pt>
                <c:pt idx="15">
                  <c:v>24.552026392947692</c:v>
                </c:pt>
                <c:pt idx="16">
                  <c:v>25.098000000000003</c:v>
                </c:pt>
                <c:pt idx="17">
                  <c:v>26.166</c:v>
                </c:pt>
                <c:pt idx="18">
                  <c:v>31.506</c:v>
                </c:pt>
                <c:pt idx="19">
                  <c:v>36.846000000000004</c:v>
                </c:pt>
                <c:pt idx="20">
                  <c:v>42.186</c:v>
                </c:pt>
                <c:pt idx="21">
                  <c:v>47.526000000000003</c:v>
                </c:pt>
                <c:pt idx="22">
                  <c:v>52.866</c:v>
                </c:pt>
                <c:pt idx="23">
                  <c:v>58.206000000000003</c:v>
                </c:pt>
                <c:pt idx="24">
                  <c:v>64.08</c:v>
                </c:pt>
              </c:numCache>
            </c:numRef>
          </c:yVal>
          <c:smooth val="0"/>
          <c:extLst>
            <c:ext xmlns:c16="http://schemas.microsoft.com/office/drawing/2014/chart" uri="{C3380CC4-5D6E-409C-BE32-E72D297353CC}">
              <c16:uniqueId val="{00000007-36B3-438F-98FE-1634F886FB73}"/>
            </c:ext>
          </c:extLst>
        </c:ser>
        <c:dLbls>
          <c:showLegendKey val="0"/>
          <c:showVal val="0"/>
          <c:showCatName val="0"/>
          <c:showSerName val="0"/>
          <c:showPercent val="0"/>
          <c:showBubbleSize val="0"/>
        </c:dLbls>
        <c:axId val="629106480"/>
        <c:axId val="312826928"/>
      </c:scatterChart>
      <c:valAx>
        <c:axId val="629106480"/>
        <c:scaling>
          <c:orientation val="minMax"/>
          <c:max val="12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a:t>
                </a:r>
                <a:r>
                  <a:rPr lang="en-US" baseline="-25000"/>
                  <a:t>1</a:t>
                </a:r>
                <a:r>
                  <a:rPr lang="en-US"/>
                  <a:t> W/S</a:t>
                </a:r>
              </a:p>
            </c:rich>
          </c:tx>
          <c:layout>
            <c:manualLayout>
              <c:xMode val="edge"/>
              <c:yMode val="edge"/>
              <c:x val="0.46267944562316499"/>
              <c:y val="0.936630976752114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826928"/>
        <c:crosses val="autoZero"/>
        <c:crossBetween val="midCat"/>
      </c:valAx>
      <c:valAx>
        <c:axId val="312826928"/>
        <c:scaling>
          <c:orientation val="minMax"/>
          <c:max val="7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n</a:t>
                </a:r>
                <a:r>
                  <a:rPr lang="en-US" baseline="-25000"/>
                  <a:t>4</a:t>
                </a:r>
                <a:r>
                  <a:rPr lang="en-US"/>
                  <a:t>/n</a:t>
                </a:r>
                <a:r>
                  <a:rPr lang="en-US" baseline="-25000"/>
                  <a:t>1</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106480"/>
        <c:crosses val="autoZero"/>
        <c:crossBetween val="midCat"/>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3161978822615E-2"/>
          <c:y val="4.4770044770044773E-2"/>
          <c:w val="0.86843269753111951"/>
          <c:h val="0.82125368169671653"/>
        </c:manualLayout>
      </c:layout>
      <c:scatterChart>
        <c:scatterStyle val="lineMarker"/>
        <c:varyColors val="0"/>
        <c:ser>
          <c:idx val="7"/>
          <c:order val="0"/>
          <c:spPr>
            <a:ln w="22225" cap="rnd">
              <a:solidFill>
                <a:srgbClr val="FF0000"/>
              </a:solidFill>
              <a:round/>
            </a:ln>
            <a:effectLst/>
          </c:spPr>
          <c:marker>
            <c:symbol val="none"/>
          </c:marker>
          <c:xVal>
            <c:numRef>
              <c:f>Analysis!$AB$283:$AB$293</c:f>
              <c:numCache>
                <c:formatCode>0.0</c:formatCode>
                <c:ptCount val="11"/>
                <c:pt idx="0">
                  <c:v>48.223350253807105</c:v>
                </c:pt>
                <c:pt idx="1">
                  <c:v>48.223350253807105</c:v>
                </c:pt>
                <c:pt idx="2" formatCode="General">
                  <c:v>0</c:v>
                </c:pt>
                <c:pt idx="4">
                  <c:v>48.223350253807105</c:v>
                </c:pt>
                <c:pt idx="5">
                  <c:v>48.223350253807105</c:v>
                </c:pt>
                <c:pt idx="6" formatCode="General">
                  <c:v>0</c:v>
                </c:pt>
                <c:pt idx="8">
                  <c:v>48.223350253807105</c:v>
                </c:pt>
                <c:pt idx="9">
                  <c:v>48.223350253807105</c:v>
                </c:pt>
                <c:pt idx="10" formatCode="General">
                  <c:v>0</c:v>
                </c:pt>
              </c:numCache>
            </c:numRef>
          </c:xVal>
          <c:yVal>
            <c:numRef>
              <c:f>Analysis!$AC$283:$AC$293</c:f>
              <c:numCache>
                <c:formatCode>General</c:formatCode>
                <c:ptCount val="11"/>
                <c:pt idx="0">
                  <c:v>0</c:v>
                </c:pt>
                <c:pt idx="1">
                  <c:v>37.614213197969541</c:v>
                </c:pt>
                <c:pt idx="2">
                  <c:v>37.614213197969541</c:v>
                </c:pt>
                <c:pt idx="4">
                  <c:v>0</c:v>
                </c:pt>
                <c:pt idx="5">
                  <c:v>30.862944162436548</c:v>
                </c:pt>
                <c:pt idx="6">
                  <c:v>30.862944162436548</c:v>
                </c:pt>
                <c:pt idx="8">
                  <c:v>0</c:v>
                </c:pt>
                <c:pt idx="9">
                  <c:v>22.472081218274113</c:v>
                </c:pt>
                <c:pt idx="10">
                  <c:v>22.472081218274113</c:v>
                </c:pt>
              </c:numCache>
            </c:numRef>
          </c:yVal>
          <c:smooth val="0"/>
          <c:extLst>
            <c:ext xmlns:c16="http://schemas.microsoft.com/office/drawing/2014/chart" uri="{C3380CC4-5D6E-409C-BE32-E72D297353CC}">
              <c16:uniqueId val="{00000000-BC2A-422F-B3D6-017C88086DB1}"/>
            </c:ext>
          </c:extLst>
        </c:ser>
        <c:ser>
          <c:idx val="4"/>
          <c:order val="1"/>
          <c:spPr>
            <a:ln w="19050" cap="rnd">
              <a:solidFill>
                <a:schemeClr val="tx1"/>
              </a:solidFill>
              <a:round/>
            </a:ln>
            <a:effectLst/>
          </c:spPr>
          <c:marker>
            <c:symbol val="none"/>
          </c:marker>
          <c:xVal>
            <c:numRef>
              <c:f>Analysis!$X$279:$X$303</c:f>
              <c:numCache>
                <c:formatCode>0.0</c:formatCode>
                <c:ptCount val="25"/>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43</c:v>
                </c:pt>
                <c:pt idx="15">
                  <c:v>45</c:v>
                </c:pt>
                <c:pt idx="16">
                  <c:v>47</c:v>
                </c:pt>
                <c:pt idx="17">
                  <c:v>49</c:v>
                </c:pt>
                <c:pt idx="18">
                  <c:v>59</c:v>
                </c:pt>
                <c:pt idx="19">
                  <c:v>69</c:v>
                </c:pt>
                <c:pt idx="20">
                  <c:v>79</c:v>
                </c:pt>
                <c:pt idx="21">
                  <c:v>89</c:v>
                </c:pt>
                <c:pt idx="22">
                  <c:v>99</c:v>
                </c:pt>
                <c:pt idx="23">
                  <c:v>109</c:v>
                </c:pt>
                <c:pt idx="24">
                  <c:v>120</c:v>
                </c:pt>
              </c:numCache>
            </c:numRef>
          </c:xVal>
          <c:yVal>
            <c:numRef>
              <c:f>Analysis!$Z$279:$Z$303</c:f>
              <c:numCache>
                <c:formatCode>General</c:formatCode>
                <c:ptCount val="25"/>
                <c:pt idx="0">
                  <c:v>0</c:v>
                </c:pt>
                <c:pt idx="1">
                  <c:v>3.2</c:v>
                </c:pt>
                <c:pt idx="2">
                  <c:v>4.4800000000000004</c:v>
                </c:pt>
                <c:pt idx="3">
                  <c:v>5.76</c:v>
                </c:pt>
                <c:pt idx="4">
                  <c:v>7.04</c:v>
                </c:pt>
                <c:pt idx="5">
                  <c:v>8.32</c:v>
                </c:pt>
                <c:pt idx="6">
                  <c:v>9.6</c:v>
                </c:pt>
                <c:pt idx="7">
                  <c:v>10.88</c:v>
                </c:pt>
                <c:pt idx="8">
                  <c:v>13.44</c:v>
                </c:pt>
                <c:pt idx="9">
                  <c:v>16</c:v>
                </c:pt>
                <c:pt idx="10">
                  <c:v>18.559999999999999</c:v>
                </c:pt>
                <c:pt idx="11">
                  <c:v>21.12</c:v>
                </c:pt>
                <c:pt idx="12">
                  <c:v>23.68</c:v>
                </c:pt>
                <c:pt idx="13">
                  <c:v>26.240000000000002</c:v>
                </c:pt>
                <c:pt idx="14">
                  <c:v>27.52</c:v>
                </c:pt>
                <c:pt idx="15">
                  <c:v>28.8</c:v>
                </c:pt>
                <c:pt idx="16">
                  <c:v>30.080000000000002</c:v>
                </c:pt>
                <c:pt idx="17">
                  <c:v>31.36</c:v>
                </c:pt>
                <c:pt idx="18">
                  <c:v>37.76</c:v>
                </c:pt>
                <c:pt idx="19">
                  <c:v>44.160000000000004</c:v>
                </c:pt>
                <c:pt idx="20">
                  <c:v>50.56</c:v>
                </c:pt>
                <c:pt idx="21">
                  <c:v>56.96</c:v>
                </c:pt>
                <c:pt idx="22">
                  <c:v>63.36</c:v>
                </c:pt>
                <c:pt idx="23">
                  <c:v>69.760000000000005</c:v>
                </c:pt>
                <c:pt idx="24">
                  <c:v>76.8</c:v>
                </c:pt>
              </c:numCache>
            </c:numRef>
          </c:yVal>
          <c:smooth val="0"/>
          <c:extLst>
            <c:ext xmlns:c16="http://schemas.microsoft.com/office/drawing/2014/chart" uri="{C3380CC4-5D6E-409C-BE32-E72D297353CC}">
              <c16:uniqueId val="{00000001-BC2A-422F-B3D6-017C88086DB1}"/>
            </c:ext>
          </c:extLst>
        </c:ser>
        <c:ser>
          <c:idx val="5"/>
          <c:order val="2"/>
          <c:spPr>
            <a:ln w="19050" cap="rnd">
              <a:solidFill>
                <a:schemeClr val="tx1"/>
              </a:solidFill>
              <a:round/>
            </a:ln>
            <a:effectLst/>
          </c:spPr>
          <c:marker>
            <c:symbol val="none"/>
          </c:marker>
          <c:xVal>
            <c:numRef>
              <c:f>Analysis!$X$279:$X$303</c:f>
              <c:numCache>
                <c:formatCode>0.0</c:formatCode>
                <c:ptCount val="25"/>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43</c:v>
                </c:pt>
                <c:pt idx="15">
                  <c:v>45</c:v>
                </c:pt>
                <c:pt idx="16">
                  <c:v>47</c:v>
                </c:pt>
                <c:pt idx="17">
                  <c:v>49</c:v>
                </c:pt>
                <c:pt idx="18">
                  <c:v>59</c:v>
                </c:pt>
                <c:pt idx="19">
                  <c:v>69</c:v>
                </c:pt>
                <c:pt idx="20">
                  <c:v>79</c:v>
                </c:pt>
                <c:pt idx="21">
                  <c:v>89</c:v>
                </c:pt>
                <c:pt idx="22">
                  <c:v>99</c:v>
                </c:pt>
                <c:pt idx="23">
                  <c:v>109</c:v>
                </c:pt>
                <c:pt idx="24">
                  <c:v>120</c:v>
                </c:pt>
              </c:numCache>
            </c:numRef>
          </c:xVal>
          <c:yVal>
            <c:numRef>
              <c:f>Analysis!$Y$279:$Y$303</c:f>
              <c:numCache>
                <c:formatCode>General</c:formatCode>
                <c:ptCount val="25"/>
                <c:pt idx="0">
                  <c:v>0</c:v>
                </c:pt>
                <c:pt idx="1">
                  <c:v>3.9000000000000004</c:v>
                </c:pt>
                <c:pt idx="2">
                  <c:v>5.46</c:v>
                </c:pt>
                <c:pt idx="3">
                  <c:v>7.0200000000000005</c:v>
                </c:pt>
                <c:pt idx="4">
                  <c:v>8.58</c:v>
                </c:pt>
                <c:pt idx="5">
                  <c:v>10.14</c:v>
                </c:pt>
                <c:pt idx="6">
                  <c:v>11.700000000000001</c:v>
                </c:pt>
                <c:pt idx="7">
                  <c:v>13.26</c:v>
                </c:pt>
                <c:pt idx="8">
                  <c:v>16.38</c:v>
                </c:pt>
                <c:pt idx="9">
                  <c:v>19.5</c:v>
                </c:pt>
                <c:pt idx="10">
                  <c:v>22.62</c:v>
                </c:pt>
                <c:pt idx="11">
                  <c:v>25.740000000000002</c:v>
                </c:pt>
                <c:pt idx="12">
                  <c:v>28.86</c:v>
                </c:pt>
                <c:pt idx="13">
                  <c:v>31.98</c:v>
                </c:pt>
                <c:pt idx="14">
                  <c:v>33.54</c:v>
                </c:pt>
                <c:pt idx="15">
                  <c:v>35.1</c:v>
                </c:pt>
                <c:pt idx="16">
                  <c:v>36.660000000000004</c:v>
                </c:pt>
                <c:pt idx="17">
                  <c:v>38.22</c:v>
                </c:pt>
                <c:pt idx="18">
                  <c:v>46.02</c:v>
                </c:pt>
                <c:pt idx="19">
                  <c:v>53.82</c:v>
                </c:pt>
                <c:pt idx="20">
                  <c:v>61.620000000000005</c:v>
                </c:pt>
                <c:pt idx="21">
                  <c:v>69.42</c:v>
                </c:pt>
                <c:pt idx="22">
                  <c:v>77.22</c:v>
                </c:pt>
                <c:pt idx="23">
                  <c:v>85.02</c:v>
                </c:pt>
                <c:pt idx="24">
                  <c:v>93.600000000000009</c:v>
                </c:pt>
              </c:numCache>
            </c:numRef>
          </c:yVal>
          <c:smooth val="0"/>
          <c:extLst>
            <c:ext xmlns:c16="http://schemas.microsoft.com/office/drawing/2014/chart" uri="{C3380CC4-5D6E-409C-BE32-E72D297353CC}">
              <c16:uniqueId val="{00000002-BC2A-422F-B3D6-017C88086DB1}"/>
            </c:ext>
          </c:extLst>
        </c:ser>
        <c:ser>
          <c:idx val="0"/>
          <c:order val="3"/>
          <c:spPr>
            <a:ln w="19050" cap="rnd">
              <a:solidFill>
                <a:schemeClr val="tx1"/>
              </a:solidFill>
              <a:round/>
            </a:ln>
            <a:effectLst/>
          </c:spPr>
          <c:marker>
            <c:symbol val="none"/>
          </c:marker>
          <c:xVal>
            <c:numRef>
              <c:f>Analysis!$X$279:$X$303</c:f>
              <c:numCache>
                <c:formatCode>0.0</c:formatCode>
                <c:ptCount val="25"/>
                <c:pt idx="0">
                  <c:v>0</c:v>
                </c:pt>
                <c:pt idx="1">
                  <c:v>5</c:v>
                </c:pt>
                <c:pt idx="2">
                  <c:v>7</c:v>
                </c:pt>
                <c:pt idx="3">
                  <c:v>9</c:v>
                </c:pt>
                <c:pt idx="4">
                  <c:v>11</c:v>
                </c:pt>
                <c:pt idx="5">
                  <c:v>13</c:v>
                </c:pt>
                <c:pt idx="6">
                  <c:v>15</c:v>
                </c:pt>
                <c:pt idx="7">
                  <c:v>17</c:v>
                </c:pt>
                <c:pt idx="8">
                  <c:v>21</c:v>
                </c:pt>
                <c:pt idx="9">
                  <c:v>25</c:v>
                </c:pt>
                <c:pt idx="10">
                  <c:v>29</c:v>
                </c:pt>
                <c:pt idx="11">
                  <c:v>33</c:v>
                </c:pt>
                <c:pt idx="12">
                  <c:v>37</c:v>
                </c:pt>
                <c:pt idx="13">
                  <c:v>41</c:v>
                </c:pt>
                <c:pt idx="14">
                  <c:v>43</c:v>
                </c:pt>
                <c:pt idx="15">
                  <c:v>45</c:v>
                </c:pt>
                <c:pt idx="16">
                  <c:v>47</c:v>
                </c:pt>
                <c:pt idx="17">
                  <c:v>49</c:v>
                </c:pt>
                <c:pt idx="18">
                  <c:v>59</c:v>
                </c:pt>
                <c:pt idx="19">
                  <c:v>69</c:v>
                </c:pt>
                <c:pt idx="20">
                  <c:v>79</c:v>
                </c:pt>
                <c:pt idx="21">
                  <c:v>89</c:v>
                </c:pt>
                <c:pt idx="22">
                  <c:v>99</c:v>
                </c:pt>
                <c:pt idx="23">
                  <c:v>109</c:v>
                </c:pt>
                <c:pt idx="24">
                  <c:v>120</c:v>
                </c:pt>
              </c:numCache>
            </c:numRef>
          </c:xVal>
          <c:yVal>
            <c:numRef>
              <c:f>Analysis!$AA$279:$AA$303</c:f>
              <c:numCache>
                <c:formatCode>General</c:formatCode>
                <c:ptCount val="25"/>
                <c:pt idx="0">
                  <c:v>0</c:v>
                </c:pt>
                <c:pt idx="1">
                  <c:v>2.33</c:v>
                </c:pt>
                <c:pt idx="2">
                  <c:v>3.262</c:v>
                </c:pt>
                <c:pt idx="3">
                  <c:v>4.194</c:v>
                </c:pt>
                <c:pt idx="4">
                  <c:v>5.1260000000000003</c:v>
                </c:pt>
                <c:pt idx="5">
                  <c:v>6.0580000000000007</c:v>
                </c:pt>
                <c:pt idx="6">
                  <c:v>6.99</c:v>
                </c:pt>
                <c:pt idx="7">
                  <c:v>7.9220000000000006</c:v>
                </c:pt>
                <c:pt idx="8">
                  <c:v>9.7860000000000014</c:v>
                </c:pt>
                <c:pt idx="9">
                  <c:v>11.65</c:v>
                </c:pt>
                <c:pt idx="10">
                  <c:v>13.514000000000001</c:v>
                </c:pt>
                <c:pt idx="11">
                  <c:v>15.378</c:v>
                </c:pt>
                <c:pt idx="12">
                  <c:v>17.242000000000001</c:v>
                </c:pt>
                <c:pt idx="13">
                  <c:v>19.106000000000002</c:v>
                </c:pt>
                <c:pt idx="14">
                  <c:v>20.038</c:v>
                </c:pt>
                <c:pt idx="15">
                  <c:v>20.970000000000002</c:v>
                </c:pt>
                <c:pt idx="16">
                  <c:v>21.902000000000001</c:v>
                </c:pt>
                <c:pt idx="17">
                  <c:v>22.834</c:v>
                </c:pt>
                <c:pt idx="18">
                  <c:v>27.494</c:v>
                </c:pt>
                <c:pt idx="19">
                  <c:v>32.154000000000003</c:v>
                </c:pt>
                <c:pt idx="20">
                  <c:v>36.814</c:v>
                </c:pt>
                <c:pt idx="21">
                  <c:v>41.474000000000004</c:v>
                </c:pt>
                <c:pt idx="22">
                  <c:v>46.134</c:v>
                </c:pt>
                <c:pt idx="23">
                  <c:v>50.794000000000004</c:v>
                </c:pt>
                <c:pt idx="24">
                  <c:v>55.92</c:v>
                </c:pt>
              </c:numCache>
            </c:numRef>
          </c:yVal>
          <c:smooth val="0"/>
          <c:extLst>
            <c:ext xmlns:c16="http://schemas.microsoft.com/office/drawing/2014/chart" uri="{C3380CC4-5D6E-409C-BE32-E72D297353CC}">
              <c16:uniqueId val="{00000003-BC2A-422F-B3D6-017C88086DB1}"/>
            </c:ext>
          </c:extLst>
        </c:ser>
        <c:dLbls>
          <c:showLegendKey val="0"/>
          <c:showVal val="0"/>
          <c:showCatName val="0"/>
          <c:showSerName val="0"/>
          <c:showPercent val="0"/>
          <c:showBubbleSize val="0"/>
        </c:dLbls>
        <c:axId val="629106480"/>
        <c:axId val="312826928"/>
      </c:scatterChart>
      <c:valAx>
        <c:axId val="629106480"/>
        <c:scaling>
          <c:orientation val="minMax"/>
          <c:max val="12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a:t>
                </a:r>
                <a:r>
                  <a:rPr lang="en-US" baseline="-25000"/>
                  <a:t>1</a:t>
                </a:r>
                <a:r>
                  <a:rPr lang="en-US"/>
                  <a:t> W/S</a:t>
                </a:r>
              </a:p>
            </c:rich>
          </c:tx>
          <c:layout>
            <c:manualLayout>
              <c:xMode val="edge"/>
              <c:yMode val="edge"/>
              <c:x val="0.46267944562316499"/>
              <c:y val="0.936630976752114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826928"/>
        <c:crosses val="autoZero"/>
        <c:crossBetween val="midCat"/>
      </c:valAx>
      <c:valAx>
        <c:axId val="312826928"/>
        <c:scaling>
          <c:orientation val="minMax"/>
          <c:max val="7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n</a:t>
                </a:r>
                <a:r>
                  <a:rPr lang="en-US" baseline="-25000"/>
                  <a:t>4</a:t>
                </a:r>
                <a:r>
                  <a:rPr lang="en-US"/>
                  <a:t>/n</a:t>
                </a:r>
                <a:r>
                  <a:rPr lang="en-US" baseline="-25000"/>
                  <a:t>1</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106480"/>
        <c:crosses val="autoZero"/>
        <c:crossBetween val="midCat"/>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png"/><Relationship Id="rId3" Type="http://schemas.openxmlformats.org/officeDocument/2006/relationships/image" Target="../media/image6.png"/><Relationship Id="rId7" Type="http://schemas.openxmlformats.org/officeDocument/2006/relationships/chart" Target="../charts/chart4.xml"/><Relationship Id="rId12" Type="http://schemas.openxmlformats.org/officeDocument/2006/relationships/hyperlink" Target="http://www.abbottaerospace.com/" TargetMode="External"/><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chart" Target="../charts/chart3.xml"/><Relationship Id="rId11" Type="http://schemas.openxmlformats.org/officeDocument/2006/relationships/chart" Target="../charts/chart6.xml"/><Relationship Id="rId5" Type="http://schemas.openxmlformats.org/officeDocument/2006/relationships/chart" Target="../charts/chart2.xml"/><Relationship Id="rId15" Type="http://schemas.openxmlformats.org/officeDocument/2006/relationships/image" Target="../media/image2.gif"/><Relationship Id="rId10" Type="http://schemas.openxmlformats.org/officeDocument/2006/relationships/chart" Target="../charts/chart5.xml"/><Relationship Id="rId4" Type="http://schemas.openxmlformats.org/officeDocument/2006/relationships/chart" Target="../charts/chart1.xml"/><Relationship Id="rId9" Type="http://schemas.openxmlformats.org/officeDocument/2006/relationships/image" Target="../media/image8.png"/><Relationship Id="rId1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43</xdr:col>
      <xdr:colOff>585106</xdr:colOff>
      <xdr:row>80</xdr:row>
      <xdr:rowOff>65314</xdr:rowOff>
    </xdr:from>
    <xdr:to>
      <xdr:col>51</xdr:col>
      <xdr:colOff>203704</xdr:colOff>
      <xdr:row>105</xdr:row>
      <xdr:rowOff>87085</xdr:rowOff>
    </xdr:to>
    <xdr:pic>
      <xdr:nvPicPr>
        <xdr:cNvPr id="2" name="Picture 1"/>
        <xdr:cNvPicPr>
          <a:picLocks noChangeAspect="1"/>
        </xdr:cNvPicPr>
      </xdr:nvPicPr>
      <xdr:blipFill>
        <a:blip xmlns:r="http://schemas.openxmlformats.org/officeDocument/2006/relationships" r:embed="rId1"/>
        <a:stretch>
          <a:fillRect/>
        </a:stretch>
      </xdr:blipFill>
      <xdr:spPr>
        <a:xfrm>
          <a:off x="24664306" y="13971814"/>
          <a:ext cx="4647798" cy="4308021"/>
        </a:xfrm>
        <a:prstGeom prst="rect">
          <a:avLst/>
        </a:prstGeom>
      </xdr:spPr>
    </xdr:pic>
    <xdr:clientData/>
  </xdr:twoCellAnchor>
  <xdr:twoCellAnchor editAs="oneCell">
    <xdr:from>
      <xdr:col>39</xdr:col>
      <xdr:colOff>0</xdr:colOff>
      <xdr:row>15</xdr:row>
      <xdr:rowOff>57150</xdr:rowOff>
    </xdr:from>
    <xdr:to>
      <xdr:col>47</xdr:col>
      <xdr:colOff>7543</xdr:colOff>
      <xdr:row>29</xdr:row>
      <xdr:rowOff>45027</xdr:rowOff>
    </xdr:to>
    <xdr:pic>
      <xdr:nvPicPr>
        <xdr:cNvPr id="11" name="Picture 10"/>
        <xdr:cNvPicPr>
          <a:picLocks noChangeAspect="1"/>
        </xdr:cNvPicPr>
      </xdr:nvPicPr>
      <xdr:blipFill>
        <a:blip xmlns:r="http://schemas.openxmlformats.org/officeDocument/2006/relationships" r:embed="rId2"/>
        <a:stretch>
          <a:fillRect/>
        </a:stretch>
      </xdr:blipFill>
      <xdr:spPr>
        <a:xfrm>
          <a:off x="21564600" y="2647950"/>
          <a:ext cx="5036743" cy="2423556"/>
        </a:xfrm>
        <a:prstGeom prst="rect">
          <a:avLst/>
        </a:prstGeom>
      </xdr:spPr>
    </xdr:pic>
    <xdr:clientData/>
  </xdr:twoCellAnchor>
  <xdr:twoCellAnchor editAs="oneCell">
    <xdr:from>
      <xdr:col>40</xdr:col>
      <xdr:colOff>586673</xdr:colOff>
      <xdr:row>44</xdr:row>
      <xdr:rowOff>170140</xdr:rowOff>
    </xdr:from>
    <xdr:to>
      <xdr:col>50</xdr:col>
      <xdr:colOff>158431</xdr:colOff>
      <xdr:row>65</xdr:row>
      <xdr:rowOff>63941</xdr:rowOff>
    </xdr:to>
    <xdr:pic>
      <xdr:nvPicPr>
        <xdr:cNvPr id="12" name="Picture 11"/>
        <xdr:cNvPicPr>
          <a:picLocks noChangeAspect="1"/>
        </xdr:cNvPicPr>
      </xdr:nvPicPr>
      <xdr:blipFill>
        <a:blip xmlns:r="http://schemas.openxmlformats.org/officeDocument/2006/relationships" r:embed="rId3"/>
        <a:stretch>
          <a:fillRect/>
        </a:stretch>
      </xdr:blipFill>
      <xdr:spPr>
        <a:xfrm>
          <a:off x="22779923" y="7828240"/>
          <a:ext cx="5858258" cy="3551401"/>
        </a:xfrm>
        <a:prstGeom prst="rect">
          <a:avLst/>
        </a:prstGeom>
      </xdr:spPr>
    </xdr:pic>
    <xdr:clientData/>
  </xdr:twoCellAnchor>
  <xdr:twoCellAnchor>
    <xdr:from>
      <xdr:col>1</xdr:col>
      <xdr:colOff>0</xdr:colOff>
      <xdr:row>77</xdr:row>
      <xdr:rowOff>0</xdr:rowOff>
    </xdr:from>
    <xdr:to>
      <xdr:col>10</xdr:col>
      <xdr:colOff>0</xdr:colOff>
      <xdr:row>96</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xdr:col>
      <xdr:colOff>375138</xdr:colOff>
      <xdr:row>83</xdr:row>
      <xdr:rowOff>93784</xdr:rowOff>
    </xdr:from>
    <xdr:ext cx="363241" cy="264560"/>
    <xdr:sp macro="" textlink="">
      <xdr:nvSpPr>
        <xdr:cNvPr id="15" name="TextBox 14"/>
        <xdr:cNvSpPr txBox="1"/>
      </xdr:nvSpPr>
      <xdr:spPr>
        <a:xfrm>
          <a:off x="1002323" y="14864861"/>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1.0</a:t>
          </a:r>
        </a:p>
      </xdr:txBody>
    </xdr:sp>
    <xdr:clientData/>
  </xdr:oneCellAnchor>
  <xdr:oneCellAnchor>
    <xdr:from>
      <xdr:col>1</xdr:col>
      <xdr:colOff>375138</xdr:colOff>
      <xdr:row>82</xdr:row>
      <xdr:rowOff>76200</xdr:rowOff>
    </xdr:from>
    <xdr:ext cx="363241" cy="264560"/>
    <xdr:sp macro="" textlink="">
      <xdr:nvSpPr>
        <xdr:cNvPr id="16" name="TextBox 15"/>
        <xdr:cNvSpPr txBox="1"/>
      </xdr:nvSpPr>
      <xdr:spPr>
        <a:xfrm>
          <a:off x="1002323" y="14671431"/>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1.1</a:t>
          </a:r>
        </a:p>
      </xdr:txBody>
    </xdr:sp>
    <xdr:clientData/>
  </xdr:oneCellAnchor>
  <xdr:oneCellAnchor>
    <xdr:from>
      <xdr:col>1</xdr:col>
      <xdr:colOff>375138</xdr:colOff>
      <xdr:row>81</xdr:row>
      <xdr:rowOff>64477</xdr:rowOff>
    </xdr:from>
    <xdr:ext cx="363241" cy="264560"/>
    <xdr:sp macro="" textlink="">
      <xdr:nvSpPr>
        <xdr:cNvPr id="17" name="TextBox 16"/>
        <xdr:cNvSpPr txBox="1"/>
      </xdr:nvSpPr>
      <xdr:spPr>
        <a:xfrm>
          <a:off x="1002323" y="14483862"/>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1.2</a:t>
          </a:r>
        </a:p>
      </xdr:txBody>
    </xdr:sp>
    <xdr:clientData/>
  </xdr:oneCellAnchor>
  <xdr:oneCellAnchor>
    <xdr:from>
      <xdr:col>1</xdr:col>
      <xdr:colOff>375138</xdr:colOff>
      <xdr:row>80</xdr:row>
      <xdr:rowOff>35170</xdr:rowOff>
    </xdr:from>
    <xdr:ext cx="363241" cy="264560"/>
    <xdr:sp macro="" textlink="">
      <xdr:nvSpPr>
        <xdr:cNvPr id="18" name="TextBox 17"/>
        <xdr:cNvSpPr txBox="1"/>
      </xdr:nvSpPr>
      <xdr:spPr>
        <a:xfrm>
          <a:off x="1002323" y="14278708"/>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1.3</a:t>
          </a:r>
        </a:p>
      </xdr:txBody>
    </xdr:sp>
    <xdr:clientData/>
  </xdr:oneCellAnchor>
  <xdr:oneCellAnchor>
    <xdr:from>
      <xdr:col>1</xdr:col>
      <xdr:colOff>375138</xdr:colOff>
      <xdr:row>79</xdr:row>
      <xdr:rowOff>23447</xdr:rowOff>
    </xdr:from>
    <xdr:ext cx="363241" cy="264560"/>
    <xdr:sp macro="" textlink="">
      <xdr:nvSpPr>
        <xdr:cNvPr id="19" name="TextBox 18"/>
        <xdr:cNvSpPr txBox="1"/>
      </xdr:nvSpPr>
      <xdr:spPr>
        <a:xfrm>
          <a:off x="1002323" y="14091139"/>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1.4</a:t>
          </a:r>
        </a:p>
      </xdr:txBody>
    </xdr:sp>
    <xdr:clientData/>
  </xdr:oneCellAnchor>
  <xdr:oneCellAnchor>
    <xdr:from>
      <xdr:col>1</xdr:col>
      <xdr:colOff>375138</xdr:colOff>
      <xdr:row>77</xdr:row>
      <xdr:rowOff>152400</xdr:rowOff>
    </xdr:from>
    <xdr:ext cx="363241" cy="264560"/>
    <xdr:sp macro="" textlink="">
      <xdr:nvSpPr>
        <xdr:cNvPr id="20" name="TextBox 19"/>
        <xdr:cNvSpPr txBox="1"/>
      </xdr:nvSpPr>
      <xdr:spPr>
        <a:xfrm>
          <a:off x="1002323" y="13868400"/>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1.5</a:t>
          </a:r>
        </a:p>
      </xdr:txBody>
    </xdr:sp>
    <xdr:clientData/>
  </xdr:oneCellAnchor>
  <xdr:twoCellAnchor>
    <xdr:from>
      <xdr:col>1</xdr:col>
      <xdr:colOff>0</xdr:colOff>
      <xdr:row>129</xdr:row>
      <xdr:rowOff>0</xdr:rowOff>
    </xdr:from>
    <xdr:to>
      <xdr:col>10</xdr:col>
      <xdr:colOff>0</xdr:colOff>
      <xdr:row>148</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375138</xdr:colOff>
      <xdr:row>130</xdr:row>
      <xdr:rowOff>39187</xdr:rowOff>
    </xdr:from>
    <xdr:to>
      <xdr:col>2</xdr:col>
      <xdr:colOff>98299</xdr:colOff>
      <xdr:row>137</xdr:row>
      <xdr:rowOff>153689</xdr:rowOff>
    </xdr:to>
    <xdr:grpSp>
      <xdr:nvGrpSpPr>
        <xdr:cNvPr id="30" name="Group 29"/>
        <xdr:cNvGrpSpPr/>
      </xdr:nvGrpSpPr>
      <xdr:grpSpPr>
        <a:xfrm>
          <a:off x="995624" y="22910073"/>
          <a:ext cx="365418" cy="1333702"/>
          <a:chOff x="1002155" y="22964501"/>
          <a:chExt cx="363241" cy="1250972"/>
        </a:xfrm>
      </xdr:grpSpPr>
      <xdr:sp macro="" textlink="">
        <xdr:nvSpPr>
          <xdr:cNvPr id="24" name="TextBox 23"/>
          <xdr:cNvSpPr txBox="1"/>
        </xdr:nvSpPr>
        <xdr:spPr>
          <a:xfrm>
            <a:off x="1002155" y="23950913"/>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1.0</a:t>
            </a:r>
          </a:p>
        </xdr:txBody>
      </xdr:sp>
      <xdr:sp macro="" textlink="">
        <xdr:nvSpPr>
          <xdr:cNvPr id="25" name="TextBox 24"/>
          <xdr:cNvSpPr txBox="1"/>
        </xdr:nvSpPr>
        <xdr:spPr>
          <a:xfrm>
            <a:off x="1002155" y="23759158"/>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1.1</a:t>
            </a:r>
          </a:p>
        </xdr:txBody>
      </xdr:sp>
      <xdr:sp macro="" textlink="">
        <xdr:nvSpPr>
          <xdr:cNvPr id="26" name="TextBox 25"/>
          <xdr:cNvSpPr txBox="1"/>
        </xdr:nvSpPr>
        <xdr:spPr>
          <a:xfrm>
            <a:off x="1002155" y="23573264"/>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1.2</a:t>
            </a:r>
          </a:p>
        </xdr:txBody>
      </xdr:sp>
      <xdr:sp macro="" textlink="">
        <xdr:nvSpPr>
          <xdr:cNvPr id="27" name="TextBox 26"/>
          <xdr:cNvSpPr txBox="1"/>
        </xdr:nvSpPr>
        <xdr:spPr>
          <a:xfrm>
            <a:off x="1002155" y="23369785"/>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1.3</a:t>
            </a:r>
          </a:p>
        </xdr:txBody>
      </xdr:sp>
      <xdr:sp macro="" textlink="">
        <xdr:nvSpPr>
          <xdr:cNvPr id="28" name="TextBox 27"/>
          <xdr:cNvSpPr txBox="1"/>
        </xdr:nvSpPr>
        <xdr:spPr>
          <a:xfrm>
            <a:off x="1002155" y="23183891"/>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1.4</a:t>
            </a:r>
          </a:p>
        </xdr:txBody>
      </xdr:sp>
      <xdr:sp macro="" textlink="">
        <xdr:nvSpPr>
          <xdr:cNvPr id="29" name="TextBox 28"/>
          <xdr:cNvSpPr txBox="1"/>
        </xdr:nvSpPr>
        <xdr:spPr>
          <a:xfrm>
            <a:off x="1002155" y="22964501"/>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1.5</a:t>
            </a:r>
          </a:p>
        </xdr:txBody>
      </xdr:sp>
    </xdr:grpSp>
    <xdr:clientData/>
  </xdr:twoCellAnchor>
  <xdr:twoCellAnchor>
    <xdr:from>
      <xdr:col>1</xdr:col>
      <xdr:colOff>0</xdr:colOff>
      <xdr:row>170</xdr:row>
      <xdr:rowOff>19050</xdr:rowOff>
    </xdr:from>
    <xdr:to>
      <xdr:col>10</xdr:col>
      <xdr:colOff>1957</xdr:colOff>
      <xdr:row>190</xdr:row>
      <xdr:rowOff>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192</xdr:row>
      <xdr:rowOff>19050</xdr:rowOff>
    </xdr:from>
    <xdr:to>
      <xdr:col>10</xdr:col>
      <xdr:colOff>571</xdr:colOff>
      <xdr:row>213</xdr:row>
      <xdr:rowOff>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31</xdr:col>
      <xdr:colOff>13855</xdr:colOff>
      <xdr:row>212</xdr:row>
      <xdr:rowOff>55419</xdr:rowOff>
    </xdr:from>
    <xdr:to>
      <xdr:col>40</xdr:col>
      <xdr:colOff>337214</xdr:colOff>
      <xdr:row>235</xdr:row>
      <xdr:rowOff>54293</xdr:rowOff>
    </xdr:to>
    <xdr:pic>
      <xdr:nvPicPr>
        <xdr:cNvPr id="33" name="Picture 32"/>
        <xdr:cNvPicPr>
          <a:picLocks noChangeAspect="1"/>
        </xdr:cNvPicPr>
      </xdr:nvPicPr>
      <xdr:blipFill>
        <a:blip xmlns:r="http://schemas.openxmlformats.org/officeDocument/2006/relationships" r:embed="rId8"/>
        <a:stretch>
          <a:fillRect/>
        </a:stretch>
      </xdr:blipFill>
      <xdr:spPr>
        <a:xfrm>
          <a:off x="16362219" y="38363237"/>
          <a:ext cx="5934450" cy="4155238"/>
        </a:xfrm>
        <a:prstGeom prst="rect">
          <a:avLst/>
        </a:prstGeom>
      </xdr:spPr>
    </xdr:pic>
    <xdr:clientData/>
  </xdr:twoCellAnchor>
  <xdr:twoCellAnchor editAs="oneCell">
    <xdr:from>
      <xdr:col>30</xdr:col>
      <xdr:colOff>343393</xdr:colOff>
      <xdr:row>267</xdr:row>
      <xdr:rowOff>133599</xdr:rowOff>
    </xdr:from>
    <xdr:to>
      <xdr:col>39</xdr:col>
      <xdr:colOff>549496</xdr:colOff>
      <xdr:row>291</xdr:row>
      <xdr:rowOff>153797</xdr:rowOff>
    </xdr:to>
    <xdr:pic>
      <xdr:nvPicPr>
        <xdr:cNvPr id="34" name="Picture 33"/>
        <xdr:cNvPicPr>
          <a:picLocks noChangeAspect="1"/>
        </xdr:cNvPicPr>
      </xdr:nvPicPr>
      <xdr:blipFill>
        <a:blip xmlns:r="http://schemas.openxmlformats.org/officeDocument/2006/relationships" r:embed="rId9"/>
        <a:stretch>
          <a:fillRect/>
        </a:stretch>
      </xdr:blipFill>
      <xdr:spPr>
        <a:xfrm>
          <a:off x="16068302" y="48361272"/>
          <a:ext cx="5817194" cy="4342816"/>
        </a:xfrm>
        <a:prstGeom prst="rect">
          <a:avLst/>
        </a:prstGeom>
      </xdr:spPr>
    </xdr:pic>
    <xdr:clientData/>
  </xdr:twoCellAnchor>
  <xdr:twoCellAnchor>
    <xdr:from>
      <xdr:col>1</xdr:col>
      <xdr:colOff>0</xdr:colOff>
      <xdr:row>229</xdr:row>
      <xdr:rowOff>173875</xdr:rowOff>
    </xdr:from>
    <xdr:to>
      <xdr:col>10</xdr:col>
      <xdr:colOff>0</xdr:colOff>
      <xdr:row>249</xdr:row>
      <xdr:rowOff>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281</xdr:row>
      <xdr:rowOff>173875</xdr:rowOff>
    </xdr:from>
    <xdr:to>
      <xdr:col>10</xdr:col>
      <xdr:colOff>0</xdr:colOff>
      <xdr:row>301</xdr:row>
      <xdr:rowOff>0</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6</xdr:col>
      <xdr:colOff>166255</xdr:colOff>
      <xdr:row>237</xdr:row>
      <xdr:rowOff>138545</xdr:rowOff>
    </xdr:from>
    <xdr:ext cx="1045158" cy="264560"/>
    <xdr:sp macro="" textlink="">
      <xdr:nvSpPr>
        <xdr:cNvPr id="40" name="TextBox 39"/>
        <xdr:cNvSpPr txBox="1"/>
      </xdr:nvSpPr>
      <xdr:spPr>
        <a:xfrm>
          <a:off x="3948546" y="42962945"/>
          <a:ext cx="104515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(1) Vertical Tail</a:t>
          </a:r>
        </a:p>
      </xdr:txBody>
    </xdr:sp>
    <xdr:clientData/>
  </xdr:oneCellAnchor>
  <xdr:oneCellAnchor>
    <xdr:from>
      <xdr:col>4</xdr:col>
      <xdr:colOff>96981</xdr:colOff>
      <xdr:row>233</xdr:row>
      <xdr:rowOff>96981</xdr:rowOff>
    </xdr:from>
    <xdr:ext cx="2099614" cy="264560"/>
    <xdr:sp macro="" textlink="">
      <xdr:nvSpPr>
        <xdr:cNvPr id="41" name="TextBox 40"/>
        <xdr:cNvSpPr txBox="1"/>
      </xdr:nvSpPr>
      <xdr:spPr>
        <a:xfrm>
          <a:off x="2632363" y="42200945"/>
          <a:ext cx="20996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(2) Horizontal Tail (Up and Down)</a:t>
          </a:r>
        </a:p>
      </xdr:txBody>
    </xdr:sp>
    <xdr:clientData/>
  </xdr:oneCellAnchor>
  <xdr:oneCellAnchor>
    <xdr:from>
      <xdr:col>5</xdr:col>
      <xdr:colOff>221673</xdr:colOff>
      <xdr:row>284</xdr:row>
      <xdr:rowOff>152400</xdr:rowOff>
    </xdr:from>
    <xdr:ext cx="584006" cy="264560"/>
    <xdr:sp macro="" textlink="">
      <xdr:nvSpPr>
        <xdr:cNvPr id="42" name="TextBox 41"/>
        <xdr:cNvSpPr txBox="1"/>
      </xdr:nvSpPr>
      <xdr:spPr>
        <a:xfrm>
          <a:off x="3380509" y="51441927"/>
          <a:ext cx="58400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(3)</a:t>
          </a:r>
          <a:r>
            <a:rPr lang="en-US" sz="1100" baseline="0"/>
            <a:t> Tab</a:t>
          </a:r>
          <a:endParaRPr lang="en-US" sz="1100"/>
        </a:p>
      </xdr:txBody>
    </xdr:sp>
    <xdr:clientData/>
  </xdr:oneCellAnchor>
  <xdr:oneCellAnchor>
    <xdr:from>
      <xdr:col>7</xdr:col>
      <xdr:colOff>193964</xdr:colOff>
      <xdr:row>283</xdr:row>
      <xdr:rowOff>13855</xdr:rowOff>
    </xdr:from>
    <xdr:ext cx="612475" cy="264560"/>
    <xdr:sp macro="" textlink="">
      <xdr:nvSpPr>
        <xdr:cNvPr id="43" name="TextBox 42"/>
        <xdr:cNvSpPr txBox="1"/>
      </xdr:nvSpPr>
      <xdr:spPr>
        <a:xfrm>
          <a:off x="4599709" y="51123273"/>
          <a:ext cx="6124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(4) Flap</a:t>
          </a:r>
        </a:p>
      </xdr:txBody>
    </xdr:sp>
    <xdr:clientData/>
  </xdr:oneCellAnchor>
  <xdr:oneCellAnchor>
    <xdr:from>
      <xdr:col>7</xdr:col>
      <xdr:colOff>498765</xdr:colOff>
      <xdr:row>288</xdr:row>
      <xdr:rowOff>55418</xdr:rowOff>
    </xdr:from>
    <xdr:ext cx="787844" cy="264560"/>
    <xdr:sp macro="" textlink="">
      <xdr:nvSpPr>
        <xdr:cNvPr id="44" name="TextBox 43"/>
        <xdr:cNvSpPr txBox="1"/>
      </xdr:nvSpPr>
      <xdr:spPr>
        <a:xfrm>
          <a:off x="4904510" y="52065382"/>
          <a:ext cx="78784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(5) Aileron</a:t>
          </a:r>
        </a:p>
      </xdr:txBody>
    </xdr:sp>
    <xdr:clientData/>
  </xdr:oneCellAnchor>
  <xdr:twoCellAnchor>
    <xdr:from>
      <xdr:col>0</xdr:col>
      <xdr:colOff>40822</xdr:colOff>
      <xdr:row>7</xdr:row>
      <xdr:rowOff>40821</xdr:rowOff>
    </xdr:from>
    <xdr:to>
      <xdr:col>4</xdr:col>
      <xdr:colOff>66675</xdr:colOff>
      <xdr:row>10</xdr:row>
      <xdr:rowOff>145236</xdr:rowOff>
    </xdr:to>
    <xdr:grpSp>
      <xdr:nvGrpSpPr>
        <xdr:cNvPr id="38" name="Group 37"/>
        <xdr:cNvGrpSpPr/>
      </xdr:nvGrpSpPr>
      <xdr:grpSpPr>
        <a:xfrm>
          <a:off x="40822" y="1260021"/>
          <a:ext cx="2562224" cy="626929"/>
          <a:chOff x="40822" y="1267641"/>
          <a:chExt cx="2570933" cy="630195"/>
        </a:xfrm>
      </xdr:grpSpPr>
      <xdr:pic>
        <xdr:nvPicPr>
          <xdr:cNvPr id="45" name="Picture 44">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6" name="Picture 45"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59</xdr:row>
      <xdr:rowOff>40821</xdr:rowOff>
    </xdr:from>
    <xdr:to>
      <xdr:col>4</xdr:col>
      <xdr:colOff>66675</xdr:colOff>
      <xdr:row>62</xdr:row>
      <xdr:rowOff>145236</xdr:rowOff>
    </xdr:to>
    <xdr:grpSp>
      <xdr:nvGrpSpPr>
        <xdr:cNvPr id="47" name="Group 46"/>
        <xdr:cNvGrpSpPr/>
      </xdr:nvGrpSpPr>
      <xdr:grpSpPr>
        <a:xfrm>
          <a:off x="40822" y="10480221"/>
          <a:ext cx="2562224" cy="626929"/>
          <a:chOff x="40822" y="1267641"/>
          <a:chExt cx="2570933" cy="630195"/>
        </a:xfrm>
      </xdr:grpSpPr>
      <xdr:pic>
        <xdr:nvPicPr>
          <xdr:cNvPr id="48" name="Picture 47">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9" name="Picture 48"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111</xdr:row>
      <xdr:rowOff>40821</xdr:rowOff>
    </xdr:from>
    <xdr:to>
      <xdr:col>4</xdr:col>
      <xdr:colOff>66675</xdr:colOff>
      <xdr:row>114</xdr:row>
      <xdr:rowOff>145236</xdr:rowOff>
    </xdr:to>
    <xdr:grpSp>
      <xdr:nvGrpSpPr>
        <xdr:cNvPr id="50" name="Group 49"/>
        <xdr:cNvGrpSpPr/>
      </xdr:nvGrpSpPr>
      <xdr:grpSpPr>
        <a:xfrm>
          <a:off x="40822" y="19569792"/>
          <a:ext cx="2562224" cy="626930"/>
          <a:chOff x="40822" y="1267641"/>
          <a:chExt cx="2570933" cy="630195"/>
        </a:xfrm>
      </xdr:grpSpPr>
      <xdr:pic>
        <xdr:nvPicPr>
          <xdr:cNvPr id="51" name="Picture 50">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2" name="Picture 51"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163</xdr:row>
      <xdr:rowOff>40821</xdr:rowOff>
    </xdr:from>
    <xdr:to>
      <xdr:col>4</xdr:col>
      <xdr:colOff>66675</xdr:colOff>
      <xdr:row>166</xdr:row>
      <xdr:rowOff>145236</xdr:rowOff>
    </xdr:to>
    <xdr:grpSp>
      <xdr:nvGrpSpPr>
        <xdr:cNvPr id="53" name="Group 52"/>
        <xdr:cNvGrpSpPr/>
      </xdr:nvGrpSpPr>
      <xdr:grpSpPr>
        <a:xfrm>
          <a:off x="40822" y="28659364"/>
          <a:ext cx="2562224" cy="626929"/>
          <a:chOff x="40822" y="1267641"/>
          <a:chExt cx="2570933" cy="630195"/>
        </a:xfrm>
      </xdr:grpSpPr>
      <xdr:pic>
        <xdr:nvPicPr>
          <xdr:cNvPr id="54" name="Picture 53">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5" name="Picture 54"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216</xdr:row>
      <xdr:rowOff>40821</xdr:rowOff>
    </xdr:from>
    <xdr:to>
      <xdr:col>4</xdr:col>
      <xdr:colOff>66675</xdr:colOff>
      <xdr:row>219</xdr:row>
      <xdr:rowOff>145236</xdr:rowOff>
    </xdr:to>
    <xdr:grpSp>
      <xdr:nvGrpSpPr>
        <xdr:cNvPr id="56" name="Group 55"/>
        <xdr:cNvGrpSpPr/>
      </xdr:nvGrpSpPr>
      <xdr:grpSpPr>
        <a:xfrm>
          <a:off x="40822" y="37890450"/>
          <a:ext cx="2562224" cy="626929"/>
          <a:chOff x="40822" y="1267641"/>
          <a:chExt cx="2570933" cy="630195"/>
        </a:xfrm>
      </xdr:grpSpPr>
      <xdr:pic>
        <xdr:nvPicPr>
          <xdr:cNvPr id="57" name="Picture 56">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8" name="Picture 57"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268</xdr:row>
      <xdr:rowOff>40821</xdr:rowOff>
    </xdr:from>
    <xdr:to>
      <xdr:col>4</xdr:col>
      <xdr:colOff>66675</xdr:colOff>
      <xdr:row>271</xdr:row>
      <xdr:rowOff>145236</xdr:rowOff>
    </xdr:to>
    <xdr:grpSp>
      <xdr:nvGrpSpPr>
        <xdr:cNvPr id="59" name="Group 58"/>
        <xdr:cNvGrpSpPr/>
      </xdr:nvGrpSpPr>
      <xdr:grpSpPr>
        <a:xfrm>
          <a:off x="40822" y="46958250"/>
          <a:ext cx="2562224" cy="626929"/>
          <a:chOff x="40822" y="1267641"/>
          <a:chExt cx="2570933" cy="630195"/>
        </a:xfrm>
      </xdr:grpSpPr>
      <xdr:pic>
        <xdr:nvPicPr>
          <xdr:cNvPr id="60" name="Picture 59">
            <a:hlinkClick xmlns:r="http://schemas.openxmlformats.org/officeDocument/2006/relationships" r:id="rId12"/>
          </xdr:cNvPr>
          <xdr:cNvPicPr>
            <a:picLocks noChangeAspect="1"/>
          </xdr:cNvPicPr>
        </xdr:nvPicPr>
        <xdr:blipFill>
          <a:blip xmlns:r="http://schemas.openxmlformats.org/officeDocument/2006/relationships" r:embed="rId1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1" name="Picture 60" descr="PayPal - The safer, easier way to pay online!">
            <a:hlinkClick xmlns:r="http://schemas.openxmlformats.org/officeDocument/2006/relationships" r:id="rId14"/>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c:userShapes xmlns:c="http://schemas.openxmlformats.org/drawingml/2006/chart">
  <cdr:relSizeAnchor xmlns:cdr="http://schemas.openxmlformats.org/drawingml/2006/chartDrawing">
    <cdr:from>
      <cdr:x>0.01097</cdr:x>
      <cdr:y>0.0153</cdr:y>
    </cdr:from>
    <cdr:to>
      <cdr:x>0.01097</cdr:x>
      <cdr:y>0.0153</cdr:y>
    </cdr:to>
    <cdr:sp macro="" textlink="">
      <cdr:nvSpPr>
        <cdr:cNvPr id="2" name="DVCHARTID" hidden="1"/>
        <cdr:cNvSpPr txBox="1"/>
      </cdr:nvSpPr>
      <cdr:spPr>
        <a:xfrm xmlns:a="http://schemas.openxmlformats.org/drawingml/2006/main">
          <a:off x="50800" y="50800"/>
          <a:ext cx="0" cy="0"/>
        </a:xfrm>
        <a:prstGeom xmlns:a="http://schemas.openxmlformats.org/drawingml/2006/main" prst="rect">
          <a:avLst/>
        </a:prstGeom>
      </cdr:spPr>
      <cdr:txBody>
        <a:bodyPr xmlns:a="http://schemas.openxmlformats.org/drawingml/2006/main" vertOverflow="clip" vert="vert" rtlCol="0" anchor="ctr"/>
        <a:lstStyle xmlns:a="http://schemas.openxmlformats.org/drawingml/2006/main"/>
        <a:p xmlns:a="http://schemas.openxmlformats.org/drawingml/2006/main">
          <a:pPr algn="r"/>
          <a:r>
            <a:rPr lang="en-CA" sz="1100"/>
            <a:t>JCrVd0vTgOjdibM5LEPlwE</a:t>
          </a:r>
        </a:p>
      </cdr:txBody>
    </cdr:sp>
  </cdr:relSizeAnchor>
</c:userShapes>
</file>

<file path=xl/drawings/drawing4.xml><?xml version="1.0" encoding="utf-8"?>
<c:userShapes xmlns:c="http://schemas.openxmlformats.org/drawingml/2006/chart">
  <cdr:relSizeAnchor xmlns:cdr="http://schemas.openxmlformats.org/drawingml/2006/chartDrawing">
    <cdr:from>
      <cdr:x>0.01097</cdr:x>
      <cdr:y>0.0153</cdr:y>
    </cdr:from>
    <cdr:to>
      <cdr:x>0.01097</cdr:x>
      <cdr:y>0.0153</cdr:y>
    </cdr:to>
    <cdr:sp macro="" textlink="">
      <cdr:nvSpPr>
        <cdr:cNvPr id="2" name="DVCHARTID" hidden="1"/>
        <cdr:cNvSpPr txBox="1"/>
      </cdr:nvSpPr>
      <cdr:spPr>
        <a:xfrm xmlns:a="http://schemas.openxmlformats.org/drawingml/2006/main">
          <a:off x="50800" y="50800"/>
          <a:ext cx="0" cy="0"/>
        </a:xfrm>
        <a:prstGeom xmlns:a="http://schemas.openxmlformats.org/drawingml/2006/main" prst="rect">
          <a:avLst/>
        </a:prstGeom>
      </cdr:spPr>
      <cdr:txBody>
        <a:bodyPr xmlns:a="http://schemas.openxmlformats.org/drawingml/2006/main" vertOverflow="clip" vert="vert" rtlCol="0" anchor="ctr"/>
        <a:lstStyle xmlns:a="http://schemas.openxmlformats.org/drawingml/2006/main"/>
        <a:p xmlns:a="http://schemas.openxmlformats.org/drawingml/2006/main">
          <a:pPr algn="r"/>
          <a:r>
            <a:rPr lang="en-CA" sz="1100"/>
            <a:t>JCrVd0vTgOjdibM5LEPlwE</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A-Cayman-Laptop\Dropbox\43%20Stratos\03%20structures\70%20LOADS\COMPLETE%20AIRCRAFT%20LOADS%20SET%20NOV%202013\SD0433000001A0%20AIRCRAFT%20LOADS%20REPORT%20v8%20CRITICAL%20CASES%20(MOTHERSHIP-PC's%20conflicted%20copy%202015-11-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Front Section"/>
      <sheetName val="Aircraft Load Parameters"/>
      <sheetName val="LC"/>
      <sheetName val="Design Speeds"/>
      <sheetName val="Envelope"/>
      <sheetName val="Loads Envelope"/>
      <sheetName val="FUSE"/>
      <sheetName val="Pressure Loads"/>
      <sheetName val="Control Surfaces"/>
      <sheetName val="Wing Loads"/>
      <sheetName val="H-Stab Loads"/>
      <sheetName val="V-Stab Loads"/>
      <sheetName val="Landing Gear"/>
      <sheetName val="Jack Point Loads"/>
      <sheetName val="Engine Loads"/>
      <sheetName val="Fuel Loads"/>
      <sheetName val="APP A Geom"/>
      <sheetName val="APP B Mass"/>
      <sheetName val="APP C Load Factors"/>
      <sheetName val="App D"/>
      <sheetName val="APP E Lift&amp;Drag"/>
      <sheetName val="Calin Critical Cases"/>
      <sheetName val="Chars. (2)"/>
      <sheetName val="PP DATA"/>
      <sheetName val="Mass 2"/>
      <sheetName val="AEW"/>
      <sheetName val="FWD CG"/>
      <sheetName val="AFT CG"/>
      <sheetName val="MFW"/>
      <sheetName val="MTOW"/>
      <sheetName val="MLW"/>
      <sheetName val="WING Coeff"/>
      <sheetName val="WREF"/>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ERROR"/>
      <sheetName val="Chars."/>
      <sheetName val="WING Ext"/>
      <sheetName val="HSTAB"/>
      <sheetName val="VSTAB"/>
      <sheetName val="FE WING LOADS"/>
      <sheetName val="FE WING INDEX"/>
      <sheetName val="Sheet1"/>
    </sheetNames>
    <sheetDataSet>
      <sheetData sheetId="0"/>
      <sheetData sheetId="1"/>
      <sheetData sheetId="2">
        <row r="29">
          <cell r="C29">
            <v>85</v>
          </cell>
        </row>
      </sheetData>
      <sheetData sheetId="3"/>
      <sheetData sheetId="4">
        <row r="38">
          <cell r="X38">
            <v>165.69550386175237</v>
          </cell>
        </row>
        <row r="46">
          <cell r="C46">
            <v>168</v>
          </cell>
        </row>
      </sheetData>
      <sheetData sheetId="5">
        <row r="5">
          <cell r="N5">
            <v>6</v>
          </cell>
        </row>
      </sheetData>
      <sheetData sheetId="6"/>
      <sheetData sheetId="7"/>
      <sheetData sheetId="8"/>
      <sheetData sheetId="9"/>
      <sheetData sheetId="10">
        <row r="19">
          <cell r="E19">
            <v>3.8</v>
          </cell>
        </row>
      </sheetData>
      <sheetData sheetId="11"/>
      <sheetData sheetId="12"/>
      <sheetData sheetId="13"/>
      <sheetData sheetId="14"/>
      <sheetData sheetId="15"/>
      <sheetData sheetId="16"/>
      <sheetData sheetId="17"/>
      <sheetData sheetId="18">
        <row r="50">
          <cell r="H50">
            <v>7814.2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xl-viking.com/" TargetMode="External"/><Relationship Id="rId7"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6" Type="http://schemas.openxmlformats.org/officeDocument/2006/relationships/hyperlink" Target="http://www.xl-viking.com/" TargetMode="External"/><Relationship Id="rId5" Type="http://schemas.openxmlformats.org/officeDocument/2006/relationships/hyperlink" Target="http://www.xl-viking.com/" TargetMode="External"/><Relationship Id="rId4"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J60" sqref="J60"/>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8" customWidth="1"/>
    <col min="18" max="19" width="5.33203125" style="69" customWidth="1"/>
    <col min="20" max="25" width="9.109375" style="71"/>
    <col min="26" max="16384" width="9.109375" style="20"/>
  </cols>
  <sheetData>
    <row r="1" spans="1:25" s="5" customFormat="1" ht="13.8" x14ac:dyDescent="0.3">
      <c r="A1" s="1"/>
      <c r="B1" s="2" t="s">
        <v>1</v>
      </c>
      <c r="C1" s="3" t="s">
        <v>0</v>
      </c>
      <c r="D1" s="1"/>
      <c r="E1" s="1"/>
      <c r="F1" s="2" t="s">
        <v>11</v>
      </c>
      <c r="G1" s="4"/>
      <c r="H1" s="1"/>
      <c r="I1" s="1"/>
      <c r="J1" s="1"/>
      <c r="K1" s="1"/>
      <c r="M1" s="64"/>
      <c r="N1" s="64"/>
      <c r="O1" s="64"/>
      <c r="P1" s="64"/>
      <c r="Q1" s="64"/>
      <c r="R1" s="64"/>
      <c r="S1" s="64"/>
      <c r="T1" s="65"/>
      <c r="U1" s="65"/>
      <c r="V1" s="65"/>
      <c r="W1" s="66"/>
      <c r="X1" s="67"/>
      <c r="Y1" s="65"/>
    </row>
    <row r="2" spans="1:25" s="5" customFormat="1" ht="13.8" x14ac:dyDescent="0.3">
      <c r="A2" s="1"/>
      <c r="B2" s="2" t="s">
        <v>2</v>
      </c>
      <c r="C2" s="3" t="s">
        <v>10</v>
      </c>
      <c r="D2" s="1"/>
      <c r="E2" s="1"/>
      <c r="F2" s="2" t="s">
        <v>5</v>
      </c>
      <c r="G2" s="3"/>
      <c r="H2" s="1"/>
      <c r="I2" s="1"/>
      <c r="J2" s="1"/>
      <c r="K2" s="1"/>
      <c r="M2" s="64"/>
      <c r="N2" s="64"/>
      <c r="O2" s="64"/>
      <c r="P2" s="64"/>
      <c r="Q2" s="64"/>
      <c r="R2" s="64"/>
      <c r="S2" s="64"/>
      <c r="T2" s="65"/>
      <c r="U2" s="65"/>
      <c r="V2" s="65"/>
      <c r="W2" s="66"/>
      <c r="X2" s="67"/>
      <c r="Y2" s="65"/>
    </row>
    <row r="3" spans="1:25" s="5" customFormat="1" ht="13.8" x14ac:dyDescent="0.3">
      <c r="A3" s="1"/>
      <c r="B3" s="2" t="s">
        <v>3</v>
      </c>
      <c r="C3" s="10"/>
      <c r="D3" s="1"/>
      <c r="E3" s="1"/>
      <c r="F3" s="2" t="s">
        <v>4</v>
      </c>
      <c r="G3" s="3"/>
      <c r="H3" s="1"/>
      <c r="I3" s="1"/>
      <c r="J3" s="1"/>
      <c r="K3" s="1"/>
      <c r="M3" s="64"/>
      <c r="N3" s="64"/>
      <c r="O3" s="64"/>
      <c r="P3" s="64"/>
      <c r="Q3" s="64"/>
      <c r="R3" s="64"/>
      <c r="S3" s="64"/>
      <c r="T3" s="65"/>
      <c r="U3" s="65"/>
      <c r="V3" s="65"/>
      <c r="W3" s="66"/>
      <c r="X3" s="67"/>
      <c r="Y3" s="65"/>
    </row>
    <row r="4" spans="1:25" s="5" customFormat="1" ht="13.8" x14ac:dyDescent="0.3">
      <c r="A4" s="1"/>
      <c r="B4" s="2" t="s">
        <v>24</v>
      </c>
      <c r="C4" s="4"/>
      <c r="D4" s="1"/>
      <c r="E4" s="1"/>
      <c r="F4" s="2" t="s">
        <v>25</v>
      </c>
      <c r="G4" s="3" t="s">
        <v>26</v>
      </c>
      <c r="H4" s="1"/>
      <c r="I4" s="1"/>
      <c r="J4" s="1"/>
      <c r="K4" s="1"/>
      <c r="M4" s="64"/>
      <c r="N4" s="64"/>
      <c r="O4" s="64"/>
      <c r="P4" s="64"/>
      <c r="Q4" s="68"/>
      <c r="R4" s="69"/>
      <c r="S4" s="69"/>
      <c r="T4" s="65"/>
      <c r="U4" s="65"/>
      <c r="V4" s="65"/>
      <c r="W4" s="66"/>
      <c r="X4" s="67"/>
      <c r="Y4" s="65"/>
    </row>
    <row r="5" spans="1:25" s="5" customFormat="1" ht="13.8" x14ac:dyDescent="0.3">
      <c r="A5" s="1"/>
      <c r="B5" s="2" t="s">
        <v>27</v>
      </c>
      <c r="C5" s="4"/>
      <c r="D5" s="1"/>
      <c r="E5" s="2"/>
      <c r="F5" s="1"/>
      <c r="G5" s="1"/>
      <c r="H5" s="1"/>
      <c r="I5" s="1"/>
      <c r="J5" s="1"/>
      <c r="K5" s="1"/>
      <c r="M5" s="64"/>
      <c r="N5" s="64"/>
      <c r="O5" s="64"/>
      <c r="P5" s="64"/>
      <c r="Q5" s="68"/>
      <c r="R5" s="69"/>
      <c r="S5" s="69"/>
      <c r="T5" s="65"/>
      <c r="U5" s="65"/>
      <c r="V5" s="65"/>
      <c r="W5" s="66"/>
      <c r="X5" s="67"/>
      <c r="Y5" s="65"/>
    </row>
    <row r="6" spans="1:25" s="5" customFormat="1" ht="13.8" x14ac:dyDescent="0.3">
      <c r="A6" s="1"/>
      <c r="B6" s="1" t="s">
        <v>7</v>
      </c>
      <c r="C6" s="13"/>
      <c r="D6" s="1"/>
      <c r="E6" s="1"/>
      <c r="F6" s="1"/>
      <c r="G6" s="1"/>
      <c r="H6" s="1"/>
      <c r="I6" s="1"/>
      <c r="J6" s="1"/>
      <c r="K6" s="1"/>
      <c r="M6" s="64"/>
      <c r="N6" s="64"/>
      <c r="O6" s="64"/>
      <c r="P6" s="64"/>
      <c r="Q6" s="68"/>
      <c r="R6" s="69"/>
      <c r="S6" s="69"/>
      <c r="T6" s="65"/>
      <c r="U6" s="65"/>
      <c r="V6" s="65"/>
      <c r="W6" s="66"/>
      <c r="X6" s="67"/>
      <c r="Y6" s="65"/>
    </row>
    <row r="7" spans="1:25" s="5" customFormat="1" ht="13.8" x14ac:dyDescent="0.3">
      <c r="A7" s="1"/>
      <c r="B7" s="1"/>
      <c r="C7" s="1"/>
      <c r="D7" s="1"/>
      <c r="E7" s="1"/>
      <c r="F7" s="1"/>
      <c r="G7" s="1"/>
      <c r="H7" s="1"/>
      <c r="I7" s="1"/>
      <c r="J7" s="1"/>
      <c r="K7" s="1"/>
      <c r="M7" s="64"/>
      <c r="N7" s="64"/>
      <c r="O7" s="64"/>
      <c r="P7" s="64"/>
      <c r="Q7" s="68"/>
      <c r="R7" s="69"/>
      <c r="S7" s="69"/>
      <c r="T7" s="65"/>
      <c r="U7" s="65"/>
      <c r="V7" s="65"/>
      <c r="W7" s="66"/>
      <c r="X7" s="67"/>
      <c r="Y7" s="65"/>
    </row>
    <row r="8" spans="1:25" s="5" customFormat="1" ht="13.8" x14ac:dyDescent="0.3">
      <c r="A8" s="14"/>
      <c r="E8" s="7"/>
      <c r="F8" s="8"/>
      <c r="H8" s="15"/>
      <c r="I8" s="7"/>
      <c r="J8" s="16"/>
      <c r="K8" s="17"/>
      <c r="L8" s="18"/>
      <c r="M8" s="64"/>
      <c r="N8" s="64"/>
      <c r="O8" s="64"/>
      <c r="P8" s="64"/>
      <c r="Q8" s="68"/>
      <c r="R8" s="69"/>
      <c r="S8" s="69"/>
      <c r="T8" s="65"/>
      <c r="U8" s="65"/>
      <c r="V8" s="65"/>
      <c r="W8" s="65"/>
      <c r="X8" s="65"/>
      <c r="Y8" s="65"/>
    </row>
    <row r="9" spans="1:25" s="5" customFormat="1" ht="13.8" x14ac:dyDescent="0.3">
      <c r="E9" s="7"/>
      <c r="F9" s="15"/>
      <c r="H9" s="15"/>
      <c r="I9" s="7"/>
      <c r="J9" s="17"/>
      <c r="K9" s="17"/>
      <c r="L9" s="18"/>
      <c r="M9" s="64"/>
      <c r="N9" s="64"/>
      <c r="O9" s="64"/>
      <c r="P9" s="64"/>
      <c r="Q9" s="68"/>
      <c r="R9" s="69"/>
      <c r="S9" s="69"/>
      <c r="T9" s="65"/>
      <c r="U9" s="65"/>
      <c r="V9" s="65"/>
      <c r="W9" s="65"/>
      <c r="X9" s="65"/>
      <c r="Y9" s="65"/>
    </row>
    <row r="10" spans="1:25" s="5" customFormat="1" ht="13.8" x14ac:dyDescent="0.3">
      <c r="E10" s="7"/>
      <c r="F10" s="15"/>
      <c r="H10" s="15"/>
      <c r="I10" s="7"/>
      <c r="J10" s="8"/>
      <c r="K10" s="15"/>
      <c r="L10" s="18"/>
      <c r="M10" s="64"/>
      <c r="N10" s="64"/>
      <c r="O10" s="64"/>
      <c r="P10" s="64"/>
      <c r="Q10" s="68"/>
      <c r="R10" s="69"/>
      <c r="S10" s="69"/>
      <c r="T10" s="65"/>
      <c r="U10" s="65"/>
      <c r="V10" s="65"/>
      <c r="W10" s="65"/>
      <c r="X10" s="65"/>
      <c r="Y10" s="65"/>
    </row>
    <row r="11" spans="1:25" s="5" customFormat="1" ht="13.8" x14ac:dyDescent="0.3">
      <c r="E11" s="7"/>
      <c r="F11" s="15"/>
      <c r="I11" s="19"/>
      <c r="J11" s="8"/>
      <c r="M11" s="64"/>
      <c r="N11" s="64"/>
      <c r="O11" s="64"/>
      <c r="P11" s="64"/>
      <c r="Q11" s="64"/>
      <c r="R11" s="64"/>
      <c r="S11" s="64"/>
      <c r="T11" s="65"/>
      <c r="U11" s="65"/>
      <c r="V11" s="65"/>
      <c r="W11" s="65"/>
      <c r="X11" s="65"/>
      <c r="Y11" s="65"/>
    </row>
    <row r="12" spans="1:25" x14ac:dyDescent="0.3">
      <c r="C12" s="21" t="str">
        <f>G4</f>
        <v>IMPORTANT INFORMATION</v>
      </c>
      <c r="M12" s="64"/>
      <c r="N12" s="64"/>
      <c r="O12" s="64"/>
      <c r="P12" s="64"/>
      <c r="Q12" s="70"/>
      <c r="R12" s="70"/>
      <c r="S12" s="70"/>
    </row>
    <row r="13" spans="1:25" s="5" customFormat="1" ht="13.8" x14ac:dyDescent="0.3">
      <c r="M13" s="64"/>
      <c r="N13" s="64"/>
      <c r="O13" s="64"/>
      <c r="P13" s="64"/>
      <c r="Q13" s="64"/>
      <c r="R13" s="64"/>
      <c r="S13" s="64"/>
      <c r="T13" s="65"/>
      <c r="U13" s="65"/>
      <c r="V13" s="65"/>
      <c r="W13" s="65"/>
      <c r="X13" s="65"/>
      <c r="Y13" s="65"/>
    </row>
    <row r="14" spans="1:25" s="5" customFormat="1" ht="13.8" x14ac:dyDescent="0.3">
      <c r="B14" s="22" t="s">
        <v>31</v>
      </c>
      <c r="M14" s="64"/>
      <c r="N14" s="64"/>
      <c r="O14" s="64"/>
      <c r="P14" s="64"/>
      <c r="Q14" s="64"/>
      <c r="R14" s="64"/>
      <c r="S14" s="64"/>
      <c r="T14" s="65"/>
      <c r="U14" s="65"/>
      <c r="V14" s="65"/>
      <c r="W14" s="65"/>
      <c r="X14" s="65"/>
      <c r="Y14" s="65"/>
    </row>
    <row r="15" spans="1:25" s="5" customFormat="1" ht="13.8" x14ac:dyDescent="0.3">
      <c r="A15" s="23"/>
      <c r="K15" s="23"/>
      <c r="M15" s="68"/>
      <c r="N15" s="68"/>
      <c r="O15" s="68"/>
      <c r="P15" s="68"/>
      <c r="Q15" s="68"/>
      <c r="R15" s="69"/>
      <c r="S15" s="69"/>
      <c r="T15" s="65"/>
      <c r="U15" s="65"/>
      <c r="V15" s="65"/>
      <c r="W15" s="65"/>
      <c r="X15" s="65"/>
      <c r="Y15" s="65"/>
    </row>
    <row r="16" spans="1:25" s="5" customFormat="1" ht="12.75" customHeight="1" x14ac:dyDescent="0.3">
      <c r="B16" s="146" t="s">
        <v>38</v>
      </c>
      <c r="C16" s="146"/>
      <c r="D16" s="146"/>
      <c r="E16" s="146"/>
      <c r="F16" s="146"/>
      <c r="G16" s="146"/>
      <c r="H16" s="146"/>
      <c r="I16" s="146"/>
      <c r="J16" s="146"/>
      <c r="M16" s="68"/>
      <c r="N16" s="68"/>
      <c r="O16" s="68"/>
      <c r="P16" s="68"/>
      <c r="Q16" s="68"/>
      <c r="R16" s="69"/>
      <c r="S16" s="69"/>
      <c r="T16" s="65"/>
      <c r="U16" s="65"/>
      <c r="V16" s="65"/>
      <c r="W16" s="65"/>
      <c r="X16" s="65"/>
      <c r="Y16" s="65"/>
    </row>
    <row r="17" spans="1:25" s="5" customFormat="1" ht="13.8" x14ac:dyDescent="0.3">
      <c r="B17" s="146"/>
      <c r="C17" s="146"/>
      <c r="D17" s="146"/>
      <c r="E17" s="146"/>
      <c r="F17" s="146"/>
      <c r="G17" s="146"/>
      <c r="H17" s="146"/>
      <c r="I17" s="146"/>
      <c r="J17" s="146"/>
      <c r="M17" s="68"/>
      <c r="N17" s="68"/>
      <c r="O17" s="68"/>
      <c r="P17" s="68"/>
      <c r="Q17" s="68"/>
      <c r="R17" s="69"/>
      <c r="S17" s="69"/>
      <c r="T17" s="65"/>
      <c r="U17" s="65"/>
      <c r="V17" s="65"/>
      <c r="W17" s="65"/>
      <c r="X17" s="65"/>
      <c r="Y17" s="65"/>
    </row>
    <row r="18" spans="1:25" s="5" customFormat="1" ht="13.8" x14ac:dyDescent="0.3">
      <c r="B18" s="146"/>
      <c r="C18" s="146"/>
      <c r="D18" s="146"/>
      <c r="E18" s="146"/>
      <c r="F18" s="146"/>
      <c r="G18" s="146"/>
      <c r="H18" s="146"/>
      <c r="I18" s="146"/>
      <c r="J18" s="146"/>
      <c r="M18" s="68"/>
      <c r="N18" s="68"/>
      <c r="O18" s="68"/>
      <c r="P18" s="68"/>
      <c r="Q18" s="68"/>
      <c r="R18" s="69"/>
      <c r="S18" s="69"/>
      <c r="T18" s="65"/>
      <c r="U18" s="65"/>
      <c r="V18" s="65"/>
      <c r="W18" s="65"/>
      <c r="X18" s="65"/>
      <c r="Y18" s="65"/>
    </row>
    <row r="19" spans="1:25" s="5" customFormat="1" ht="13.8" x14ac:dyDescent="0.3">
      <c r="B19" s="146"/>
      <c r="C19" s="146"/>
      <c r="D19" s="146"/>
      <c r="E19" s="146"/>
      <c r="F19" s="146"/>
      <c r="G19" s="146"/>
      <c r="H19" s="146"/>
      <c r="I19" s="146"/>
      <c r="J19" s="146"/>
      <c r="M19" s="68"/>
      <c r="N19" s="68"/>
      <c r="O19" s="68"/>
      <c r="P19" s="68"/>
      <c r="Q19" s="68"/>
      <c r="R19" s="69"/>
      <c r="S19" s="69"/>
      <c r="T19" s="65"/>
      <c r="U19" s="65"/>
      <c r="V19" s="65"/>
      <c r="W19" s="65"/>
      <c r="X19" s="65"/>
      <c r="Y19" s="65"/>
    </row>
    <row r="20" spans="1:25" s="5" customFormat="1" ht="12.75" customHeight="1" x14ac:dyDescent="0.3">
      <c r="A20" s="23"/>
      <c r="B20" s="24" t="s">
        <v>36</v>
      </c>
      <c r="C20" s="23"/>
      <c r="D20" s="23"/>
      <c r="E20" s="23"/>
      <c r="F20" s="23"/>
      <c r="G20" s="23"/>
      <c r="H20" s="23"/>
      <c r="I20" s="23"/>
      <c r="J20" s="23"/>
      <c r="K20" s="23"/>
      <c r="M20" s="68"/>
      <c r="N20" s="68"/>
      <c r="O20" s="68"/>
      <c r="P20" s="68"/>
      <c r="Q20" s="68"/>
      <c r="R20" s="69"/>
      <c r="S20" s="69"/>
      <c r="T20" s="65"/>
      <c r="U20" s="65"/>
      <c r="V20" s="65"/>
      <c r="W20" s="65"/>
      <c r="X20" s="65"/>
      <c r="Y20" s="65"/>
    </row>
    <row r="21" spans="1:25" s="5" customFormat="1" ht="13.8" x14ac:dyDescent="0.3">
      <c r="A21" s="23"/>
      <c r="B21" s="24"/>
      <c r="C21" s="23"/>
      <c r="D21" s="23"/>
      <c r="E21" s="23"/>
      <c r="F21" s="23"/>
      <c r="G21" s="23"/>
      <c r="H21" s="23"/>
      <c r="I21" s="23"/>
      <c r="J21" s="23"/>
      <c r="K21" s="23"/>
      <c r="M21" s="68"/>
      <c r="N21" s="68"/>
      <c r="O21" s="68"/>
      <c r="P21" s="68"/>
      <c r="Q21" s="68"/>
      <c r="R21" s="69"/>
      <c r="S21" s="69"/>
      <c r="T21" s="65"/>
      <c r="U21" s="65"/>
      <c r="V21" s="65"/>
      <c r="W21" s="65"/>
      <c r="X21" s="65"/>
      <c r="Y21" s="65"/>
    </row>
    <row r="22" spans="1:25" s="5" customFormat="1" ht="13.8" x14ac:dyDescent="0.3">
      <c r="A22" s="23"/>
      <c r="B22" s="146" t="s">
        <v>39</v>
      </c>
      <c r="C22" s="146"/>
      <c r="D22" s="146"/>
      <c r="E22" s="146"/>
      <c r="F22" s="146"/>
      <c r="G22" s="146"/>
      <c r="H22" s="146"/>
      <c r="I22" s="146"/>
      <c r="J22" s="146"/>
      <c r="K22" s="23"/>
      <c r="M22" s="68"/>
      <c r="N22" s="68"/>
      <c r="O22" s="68"/>
      <c r="P22" s="68"/>
      <c r="Q22" s="68"/>
      <c r="R22" s="69"/>
      <c r="S22" s="69"/>
      <c r="T22" s="65"/>
      <c r="U22" s="65"/>
      <c r="V22" s="65"/>
      <c r="W22" s="65"/>
      <c r="X22" s="65"/>
      <c r="Y22" s="65"/>
    </row>
    <row r="23" spans="1:25" s="5" customFormat="1" ht="13.8" x14ac:dyDescent="0.3">
      <c r="A23" s="23"/>
      <c r="B23" s="146"/>
      <c r="C23" s="146"/>
      <c r="D23" s="146"/>
      <c r="E23" s="146"/>
      <c r="F23" s="146"/>
      <c r="G23" s="146"/>
      <c r="H23" s="146"/>
      <c r="I23" s="146"/>
      <c r="J23" s="146"/>
      <c r="K23" s="23"/>
      <c r="M23" s="68"/>
      <c r="N23" s="68"/>
      <c r="O23" s="68"/>
      <c r="P23" s="68"/>
      <c r="Q23" s="68"/>
      <c r="R23" s="69"/>
      <c r="S23" s="72"/>
      <c r="T23" s="65"/>
      <c r="U23" s="65"/>
      <c r="V23" s="65"/>
      <c r="W23" s="65"/>
      <c r="X23" s="65"/>
      <c r="Y23" s="65"/>
    </row>
    <row r="24" spans="1:25" s="5" customFormat="1" ht="13.8" x14ac:dyDescent="0.3">
      <c r="A24" s="23"/>
      <c r="B24" s="146"/>
      <c r="C24" s="146"/>
      <c r="D24" s="146"/>
      <c r="E24" s="146"/>
      <c r="F24" s="146"/>
      <c r="G24" s="146"/>
      <c r="H24" s="146"/>
      <c r="I24" s="146"/>
      <c r="J24" s="146"/>
      <c r="K24" s="23"/>
      <c r="M24" s="68"/>
      <c r="N24" s="68"/>
      <c r="O24" s="68"/>
      <c r="P24" s="68"/>
      <c r="Q24" s="68"/>
      <c r="R24" s="69"/>
      <c r="S24" s="72"/>
      <c r="T24" s="65"/>
      <c r="U24" s="65"/>
      <c r="V24" s="65"/>
      <c r="W24" s="65"/>
      <c r="X24" s="65"/>
      <c r="Y24" s="65"/>
    </row>
    <row r="25" spans="1:25" s="5" customFormat="1" ht="12.75" customHeight="1" x14ac:dyDescent="0.3">
      <c r="A25" s="23"/>
      <c r="B25" s="121"/>
      <c r="C25" s="121"/>
      <c r="D25" s="121"/>
      <c r="E25" s="121"/>
      <c r="F25" s="150" t="s">
        <v>119</v>
      </c>
      <c r="G25" s="121"/>
      <c r="H25" s="121"/>
      <c r="I25" s="121"/>
      <c r="J25" s="121"/>
      <c r="K25" s="23"/>
      <c r="M25" s="68"/>
      <c r="N25" s="68"/>
      <c r="O25" s="68"/>
      <c r="P25" s="68"/>
      <c r="Q25" s="68"/>
      <c r="R25" s="69"/>
      <c r="S25" s="69"/>
      <c r="T25" s="65"/>
      <c r="U25" s="65"/>
      <c r="V25" s="65"/>
      <c r="W25" s="65"/>
      <c r="X25" s="65"/>
      <c r="Y25" s="65"/>
    </row>
    <row r="26" spans="1:25" s="5" customFormat="1" ht="13.8" x14ac:dyDescent="0.3">
      <c r="A26" s="23"/>
      <c r="B26" s="146" t="s">
        <v>40</v>
      </c>
      <c r="C26" s="146"/>
      <c r="D26" s="146"/>
      <c r="E26" s="146"/>
      <c r="F26" s="146"/>
      <c r="G26" s="146"/>
      <c r="H26" s="146"/>
      <c r="I26" s="146"/>
      <c r="J26" s="146"/>
      <c r="K26" s="23"/>
      <c r="M26" s="68"/>
      <c r="N26" s="68"/>
      <c r="O26" s="68"/>
      <c r="P26" s="68"/>
      <c r="Q26" s="68"/>
      <c r="R26" s="69"/>
      <c r="S26" s="69"/>
      <c r="T26" s="65"/>
      <c r="U26" s="65"/>
      <c r="V26" s="65"/>
      <c r="W26" s="65"/>
      <c r="X26" s="65"/>
      <c r="Y26" s="65"/>
    </row>
    <row r="27" spans="1:25" s="5" customFormat="1" ht="13.8" x14ac:dyDescent="0.3">
      <c r="A27" s="23"/>
      <c r="B27" s="146"/>
      <c r="C27" s="146"/>
      <c r="D27" s="146"/>
      <c r="E27" s="146"/>
      <c r="F27" s="146"/>
      <c r="G27" s="146"/>
      <c r="H27" s="146"/>
      <c r="I27" s="146"/>
      <c r="J27" s="146"/>
      <c r="K27" s="23"/>
      <c r="M27" s="68"/>
      <c r="N27" s="68"/>
      <c r="O27" s="68"/>
      <c r="P27" s="68"/>
      <c r="Q27" s="68"/>
      <c r="R27" s="69"/>
      <c r="S27" s="69"/>
      <c r="T27" s="65"/>
      <c r="U27" s="65"/>
      <c r="V27" s="65"/>
      <c r="W27" s="65"/>
      <c r="X27" s="65"/>
      <c r="Y27" s="65"/>
    </row>
    <row r="28" spans="1:25" s="5" customFormat="1" ht="13.8" x14ac:dyDescent="0.3">
      <c r="A28" s="23"/>
      <c r="B28" s="121"/>
      <c r="C28" s="121"/>
      <c r="D28" s="121"/>
      <c r="E28" s="121"/>
      <c r="F28" s="121"/>
      <c r="G28" s="121"/>
      <c r="H28" s="121"/>
      <c r="I28" s="121"/>
      <c r="J28" s="121"/>
      <c r="K28" s="23"/>
      <c r="M28" s="68"/>
      <c r="N28" s="68"/>
      <c r="O28" s="68"/>
      <c r="P28" s="68"/>
      <c r="Q28" s="68"/>
      <c r="R28" s="69"/>
      <c r="S28" s="69"/>
      <c r="T28" s="65"/>
      <c r="U28" s="65"/>
      <c r="V28" s="65"/>
      <c r="W28" s="65"/>
      <c r="X28" s="65"/>
      <c r="Y28" s="65"/>
    </row>
    <row r="29" spans="1:25" s="5" customFormat="1" ht="13.8" x14ac:dyDescent="0.3">
      <c r="A29" s="23"/>
      <c r="B29" s="146" t="s">
        <v>41</v>
      </c>
      <c r="C29" s="146"/>
      <c r="D29" s="146"/>
      <c r="E29" s="146"/>
      <c r="F29" s="146"/>
      <c r="G29" s="146"/>
      <c r="H29" s="146"/>
      <c r="I29" s="146"/>
      <c r="J29" s="146"/>
      <c r="K29" s="23"/>
      <c r="M29" s="68"/>
      <c r="N29" s="68"/>
      <c r="O29" s="68"/>
      <c r="P29" s="68"/>
      <c r="Q29" s="68"/>
      <c r="R29" s="69"/>
      <c r="S29" s="69"/>
      <c r="T29" s="65"/>
      <c r="U29" s="65"/>
      <c r="V29" s="65"/>
      <c r="W29" s="65"/>
      <c r="X29" s="65"/>
      <c r="Y29" s="65"/>
    </row>
    <row r="30" spans="1:25" s="5" customFormat="1" ht="13.8" x14ac:dyDescent="0.3">
      <c r="A30" s="23"/>
      <c r="B30" s="146"/>
      <c r="C30" s="146"/>
      <c r="D30" s="146"/>
      <c r="E30" s="146"/>
      <c r="F30" s="146"/>
      <c r="G30" s="146"/>
      <c r="H30" s="146"/>
      <c r="I30" s="146"/>
      <c r="J30" s="146"/>
      <c r="K30" s="23"/>
      <c r="M30" s="68"/>
      <c r="N30" s="68"/>
      <c r="O30" s="68"/>
      <c r="P30" s="68"/>
      <c r="Q30" s="68"/>
      <c r="R30" s="69"/>
      <c r="S30" s="69"/>
      <c r="T30" s="65"/>
      <c r="U30" s="65"/>
      <c r="V30" s="65"/>
      <c r="W30" s="65"/>
      <c r="X30" s="65"/>
      <c r="Y30" s="65"/>
    </row>
    <row r="31" spans="1:25" s="5" customFormat="1" ht="12.75" customHeight="1" x14ac:dyDescent="0.3">
      <c r="A31" s="23"/>
      <c r="B31" s="146"/>
      <c r="C31" s="146"/>
      <c r="D31" s="146"/>
      <c r="E31" s="146"/>
      <c r="F31" s="146"/>
      <c r="G31" s="146"/>
      <c r="H31" s="146"/>
      <c r="I31" s="146"/>
      <c r="J31" s="146"/>
      <c r="K31" s="23"/>
      <c r="M31" s="68"/>
      <c r="N31" s="68"/>
      <c r="O31" s="68"/>
      <c r="P31" s="68"/>
      <c r="Q31" s="68"/>
      <c r="R31" s="69"/>
      <c r="S31" s="69"/>
      <c r="T31" s="65"/>
      <c r="U31" s="65"/>
      <c r="V31" s="65"/>
      <c r="W31" s="65"/>
      <c r="X31" s="65"/>
      <c r="Y31" s="65"/>
    </row>
    <row r="32" spans="1:25" s="5" customFormat="1" ht="13.8" x14ac:dyDescent="0.3">
      <c r="A32" s="23"/>
      <c r="B32" s="146"/>
      <c r="C32" s="146"/>
      <c r="D32" s="146"/>
      <c r="E32" s="146"/>
      <c r="F32" s="146"/>
      <c r="G32" s="146"/>
      <c r="H32" s="146"/>
      <c r="I32" s="146"/>
      <c r="J32" s="146"/>
      <c r="K32" s="23"/>
      <c r="M32" s="68"/>
      <c r="N32" s="68"/>
      <c r="O32" s="68"/>
      <c r="P32" s="68"/>
      <c r="Q32" s="68"/>
      <c r="R32" s="69"/>
      <c r="S32" s="69"/>
      <c r="T32" s="65"/>
      <c r="U32" s="65"/>
      <c r="V32" s="65"/>
      <c r="W32" s="65"/>
      <c r="X32" s="65"/>
      <c r="Y32" s="65"/>
    </row>
    <row r="33" spans="1:25" s="5" customFormat="1" ht="12.75" customHeight="1" x14ac:dyDescent="0.3">
      <c r="A33" s="23"/>
      <c r="B33" s="146"/>
      <c r="C33" s="146"/>
      <c r="D33" s="146"/>
      <c r="E33" s="146"/>
      <c r="F33" s="146"/>
      <c r="G33" s="146"/>
      <c r="H33" s="146"/>
      <c r="I33" s="146"/>
      <c r="J33" s="146"/>
      <c r="K33" s="23"/>
      <c r="M33" s="68"/>
      <c r="N33" s="68"/>
      <c r="O33" s="68"/>
      <c r="P33" s="68"/>
      <c r="Q33" s="68"/>
      <c r="R33" s="69"/>
      <c r="S33" s="69"/>
      <c r="T33" s="65"/>
      <c r="U33" s="65"/>
      <c r="V33" s="65"/>
      <c r="W33" s="65"/>
      <c r="X33" s="65"/>
      <c r="Y33" s="65"/>
    </row>
    <row r="34" spans="1:25" s="5" customFormat="1" ht="13.8" x14ac:dyDescent="0.3">
      <c r="A34" s="23"/>
      <c r="B34" s="121"/>
      <c r="C34" s="121"/>
      <c r="D34" s="148" t="s">
        <v>32</v>
      </c>
      <c r="E34" s="148"/>
      <c r="F34" s="148"/>
      <c r="G34" s="148"/>
      <c r="H34" s="148"/>
      <c r="I34" s="121"/>
      <c r="J34" s="121"/>
      <c r="K34" s="23"/>
      <c r="M34" s="68"/>
      <c r="N34" s="68"/>
      <c r="O34" s="68"/>
      <c r="P34" s="68"/>
      <c r="Q34" s="68"/>
      <c r="R34" s="69"/>
      <c r="S34" s="72"/>
      <c r="T34" s="65"/>
      <c r="U34" s="65"/>
      <c r="V34" s="65"/>
      <c r="W34" s="65"/>
      <c r="X34" s="65"/>
      <c r="Y34" s="65"/>
    </row>
    <row r="35" spans="1:25" s="5" customFormat="1" ht="13.8" x14ac:dyDescent="0.3">
      <c r="A35" s="23"/>
      <c r="B35" s="23"/>
      <c r="C35" s="23"/>
      <c r="I35" s="23"/>
      <c r="J35" s="23"/>
      <c r="K35" s="23"/>
      <c r="M35" s="68"/>
      <c r="N35" s="68"/>
      <c r="O35" s="68"/>
      <c r="P35" s="68"/>
      <c r="Q35" s="68"/>
      <c r="R35" s="69"/>
      <c r="S35" s="72"/>
      <c r="T35" s="65"/>
      <c r="U35" s="65"/>
      <c r="V35" s="65"/>
      <c r="W35" s="65"/>
      <c r="X35" s="65"/>
      <c r="Y35" s="65"/>
    </row>
    <row r="36" spans="1:25" s="5" customFormat="1" ht="12.75" customHeight="1" x14ac:dyDescent="0.3">
      <c r="A36" s="23"/>
      <c r="B36" s="24" t="s">
        <v>33</v>
      </c>
      <c r="C36" s="23"/>
      <c r="D36" s="23"/>
      <c r="E36" s="23"/>
      <c r="F36" s="122"/>
      <c r="G36" s="23"/>
      <c r="H36" s="23"/>
      <c r="I36" s="23"/>
      <c r="J36" s="23"/>
      <c r="K36" s="23"/>
      <c r="M36" s="68"/>
      <c r="N36" s="68"/>
      <c r="O36" s="68"/>
      <c r="P36" s="68"/>
      <c r="Q36" s="68"/>
      <c r="R36" s="69"/>
      <c r="S36" s="69"/>
      <c r="T36" s="65"/>
      <c r="U36" s="65"/>
      <c r="V36" s="65"/>
      <c r="W36" s="65"/>
      <c r="X36" s="65"/>
      <c r="Y36" s="65"/>
    </row>
    <row r="37" spans="1:25" s="5" customFormat="1" ht="13.8" x14ac:dyDescent="0.3">
      <c r="A37" s="23"/>
      <c r="B37" s="24"/>
      <c r="C37" s="23"/>
      <c r="D37" s="23"/>
      <c r="E37" s="23"/>
      <c r="F37" s="122"/>
      <c r="G37" s="23"/>
      <c r="H37" s="23"/>
      <c r="I37" s="23"/>
      <c r="J37" s="23"/>
      <c r="K37" s="23"/>
      <c r="M37" s="68"/>
      <c r="N37" s="68"/>
      <c r="O37" s="68"/>
      <c r="P37" s="68"/>
      <c r="Q37" s="68"/>
      <c r="R37" s="69"/>
      <c r="S37" s="69"/>
      <c r="T37" s="65"/>
      <c r="U37" s="65"/>
      <c r="V37" s="65"/>
      <c r="W37" s="65"/>
      <c r="X37" s="65"/>
      <c r="Y37" s="65"/>
    </row>
    <row r="38" spans="1:25" s="5" customFormat="1" ht="13.8" x14ac:dyDescent="0.3">
      <c r="A38" s="23"/>
      <c r="B38" s="146" t="s">
        <v>42</v>
      </c>
      <c r="C38" s="146"/>
      <c r="D38" s="146"/>
      <c r="E38" s="146"/>
      <c r="F38" s="146"/>
      <c r="G38" s="146"/>
      <c r="H38" s="146"/>
      <c r="I38" s="146"/>
      <c r="J38" s="146"/>
      <c r="K38" s="23"/>
      <c r="M38" s="68"/>
      <c r="N38" s="68"/>
      <c r="O38" s="68"/>
      <c r="P38" s="68"/>
      <c r="Q38" s="68"/>
      <c r="R38" s="69"/>
      <c r="S38" s="69"/>
      <c r="T38" s="65"/>
      <c r="U38" s="65"/>
      <c r="V38" s="65"/>
      <c r="W38" s="65"/>
      <c r="X38" s="65"/>
      <c r="Y38" s="65"/>
    </row>
    <row r="39" spans="1:25" s="5" customFormat="1" ht="13.8" x14ac:dyDescent="0.3">
      <c r="A39" s="23"/>
      <c r="B39" s="146"/>
      <c r="C39" s="146"/>
      <c r="D39" s="146"/>
      <c r="E39" s="146"/>
      <c r="F39" s="146"/>
      <c r="G39" s="146"/>
      <c r="H39" s="146"/>
      <c r="I39" s="146"/>
      <c r="J39" s="146"/>
      <c r="K39" s="23"/>
      <c r="M39" s="68"/>
      <c r="N39" s="68"/>
      <c r="O39" s="68"/>
      <c r="P39" s="68"/>
      <c r="Q39" s="68"/>
      <c r="R39" s="69"/>
      <c r="S39" s="69"/>
      <c r="T39" s="65"/>
      <c r="U39" s="65"/>
      <c r="V39" s="65"/>
      <c r="W39" s="65"/>
      <c r="X39" s="65"/>
      <c r="Y39" s="65"/>
    </row>
    <row r="40" spans="1:25" s="5" customFormat="1" ht="13.8" x14ac:dyDescent="0.3">
      <c r="A40" s="23"/>
      <c r="B40" s="121"/>
      <c r="C40" s="121"/>
      <c r="D40" s="121"/>
      <c r="E40" s="121"/>
      <c r="F40" s="121"/>
      <c r="G40" s="121"/>
      <c r="H40" s="121"/>
      <c r="I40" s="121"/>
      <c r="J40" s="121"/>
      <c r="K40" s="23"/>
      <c r="M40" s="68"/>
      <c r="N40" s="68"/>
      <c r="O40" s="68"/>
      <c r="P40" s="68"/>
      <c r="Q40" s="68"/>
      <c r="R40" s="69"/>
      <c r="S40" s="69"/>
      <c r="T40" s="65"/>
      <c r="U40" s="65"/>
      <c r="V40" s="65"/>
      <c r="W40" s="65"/>
      <c r="X40" s="65"/>
      <c r="Y40" s="65"/>
    </row>
    <row r="41" spans="1:25" s="5" customFormat="1" ht="13.8" x14ac:dyDescent="0.3">
      <c r="A41" s="23"/>
      <c r="B41" s="146" t="s">
        <v>43</v>
      </c>
      <c r="C41" s="146"/>
      <c r="D41" s="146"/>
      <c r="E41" s="146"/>
      <c r="F41" s="146"/>
      <c r="G41" s="146"/>
      <c r="H41" s="146"/>
      <c r="I41" s="146"/>
      <c r="J41" s="146"/>
      <c r="K41" s="23"/>
      <c r="M41" s="68"/>
      <c r="N41" s="68"/>
      <c r="O41" s="68"/>
      <c r="P41" s="68"/>
      <c r="Q41" s="68"/>
      <c r="R41" s="69"/>
      <c r="S41" s="69"/>
      <c r="T41" s="65"/>
      <c r="U41" s="65"/>
      <c r="V41" s="65"/>
      <c r="W41" s="65"/>
      <c r="X41" s="65"/>
      <c r="Y41" s="65"/>
    </row>
    <row r="42" spans="1:25" s="5" customFormat="1" ht="13.8" x14ac:dyDescent="0.3">
      <c r="A42" s="23"/>
      <c r="B42" s="146"/>
      <c r="C42" s="146"/>
      <c r="D42" s="146"/>
      <c r="E42" s="146"/>
      <c r="F42" s="146"/>
      <c r="G42" s="146"/>
      <c r="H42" s="146"/>
      <c r="I42" s="146"/>
      <c r="J42" s="146"/>
      <c r="K42" s="23"/>
      <c r="M42" s="68"/>
      <c r="N42" s="68"/>
      <c r="O42" s="68"/>
      <c r="P42" s="68"/>
      <c r="Q42" s="68"/>
      <c r="R42" s="69"/>
      <c r="S42" s="69"/>
      <c r="T42" s="65"/>
      <c r="U42" s="65"/>
      <c r="V42" s="65"/>
      <c r="W42" s="65"/>
      <c r="X42" s="65"/>
      <c r="Y42" s="65"/>
    </row>
    <row r="43" spans="1:25" s="5" customFormat="1" ht="13.8" x14ac:dyDescent="0.3">
      <c r="A43" s="23"/>
      <c r="B43" s="146"/>
      <c r="C43" s="146"/>
      <c r="D43" s="146"/>
      <c r="E43" s="146"/>
      <c r="F43" s="146"/>
      <c r="G43" s="146"/>
      <c r="H43" s="146"/>
      <c r="I43" s="146"/>
      <c r="J43" s="146"/>
      <c r="K43" s="23"/>
      <c r="M43" s="68"/>
      <c r="N43" s="68"/>
      <c r="O43" s="68"/>
      <c r="P43" s="68"/>
      <c r="Q43" s="68"/>
      <c r="R43" s="69"/>
      <c r="S43" s="69"/>
      <c r="T43" s="65"/>
      <c r="U43" s="65"/>
      <c r="V43" s="65"/>
      <c r="W43" s="65"/>
      <c r="X43" s="65"/>
      <c r="Y43" s="65"/>
    </row>
    <row r="44" spans="1:25" s="5" customFormat="1" ht="13.8" x14ac:dyDescent="0.3">
      <c r="A44" s="23"/>
      <c r="B44" s="121"/>
      <c r="C44" s="121"/>
      <c r="D44" s="121"/>
      <c r="E44" s="121"/>
      <c r="F44" s="121"/>
      <c r="G44" s="121"/>
      <c r="H44" s="121"/>
      <c r="I44" s="121"/>
      <c r="J44" s="121"/>
      <c r="K44" s="23"/>
      <c r="M44" s="68"/>
      <c r="N44" s="68"/>
      <c r="O44" s="68"/>
      <c r="P44" s="68"/>
      <c r="Q44" s="68"/>
      <c r="R44" s="69"/>
      <c r="S44" s="69"/>
      <c r="T44" s="65"/>
      <c r="U44" s="65"/>
      <c r="V44" s="65"/>
      <c r="W44" s="65"/>
      <c r="X44" s="65"/>
      <c r="Y44" s="65"/>
    </row>
    <row r="45" spans="1:25" s="5" customFormat="1" ht="12.75" customHeight="1" x14ac:dyDescent="0.3">
      <c r="A45" s="23"/>
      <c r="B45" s="146" t="s">
        <v>37</v>
      </c>
      <c r="C45" s="146"/>
      <c r="D45" s="146"/>
      <c r="E45" s="146"/>
      <c r="F45" s="146"/>
      <c r="G45" s="146"/>
      <c r="H45" s="146"/>
      <c r="I45" s="146"/>
      <c r="J45" s="146"/>
      <c r="K45" s="23"/>
      <c r="M45" s="68"/>
      <c r="N45" s="68"/>
      <c r="O45" s="68"/>
      <c r="P45" s="68"/>
      <c r="Q45" s="68"/>
      <c r="R45" s="69"/>
      <c r="S45" s="69"/>
      <c r="T45" s="65"/>
      <c r="U45" s="65"/>
      <c r="V45" s="65"/>
      <c r="W45" s="65"/>
      <c r="X45" s="65"/>
      <c r="Y45" s="65"/>
    </row>
    <row r="46" spans="1:25" s="5" customFormat="1" ht="13.8" x14ac:dyDescent="0.3">
      <c r="A46" s="23"/>
      <c r="B46" s="146"/>
      <c r="C46" s="146"/>
      <c r="D46" s="146"/>
      <c r="E46" s="146"/>
      <c r="F46" s="146"/>
      <c r="G46" s="146"/>
      <c r="H46" s="146"/>
      <c r="I46" s="146"/>
      <c r="J46" s="146"/>
      <c r="K46" s="23"/>
      <c r="M46" s="68"/>
      <c r="N46" s="68"/>
      <c r="O46" s="68"/>
      <c r="P46" s="68"/>
      <c r="Q46" s="68"/>
      <c r="R46" s="69"/>
      <c r="S46" s="69"/>
      <c r="T46" s="65"/>
      <c r="U46" s="65"/>
      <c r="V46" s="65"/>
      <c r="W46" s="65"/>
      <c r="X46" s="65"/>
      <c r="Y46" s="65"/>
    </row>
    <row r="47" spans="1:25" s="5" customFormat="1" ht="13.8" x14ac:dyDescent="0.3">
      <c r="A47" s="23"/>
      <c r="B47" s="146"/>
      <c r="C47" s="146"/>
      <c r="D47" s="146"/>
      <c r="E47" s="146"/>
      <c r="F47" s="146"/>
      <c r="G47" s="146"/>
      <c r="H47" s="146"/>
      <c r="I47" s="146"/>
      <c r="J47" s="146"/>
      <c r="K47" s="23"/>
      <c r="M47" s="68"/>
      <c r="N47" s="68"/>
      <c r="O47" s="68"/>
      <c r="P47" s="68"/>
      <c r="Q47" s="68"/>
      <c r="R47" s="69"/>
      <c r="S47" s="69"/>
      <c r="T47" s="65"/>
      <c r="U47" s="65"/>
      <c r="V47" s="65"/>
      <c r="W47" s="65"/>
      <c r="X47" s="65"/>
      <c r="Y47" s="65"/>
    </row>
    <row r="48" spans="1:25" s="5" customFormat="1" ht="12.75" customHeight="1" x14ac:dyDescent="0.3">
      <c r="A48" s="23"/>
      <c r="B48" s="146"/>
      <c r="C48" s="146"/>
      <c r="D48" s="146"/>
      <c r="E48" s="146"/>
      <c r="F48" s="146"/>
      <c r="G48" s="146"/>
      <c r="H48" s="146"/>
      <c r="I48" s="146"/>
      <c r="J48" s="146"/>
      <c r="K48" s="23"/>
      <c r="M48" s="68"/>
      <c r="N48" s="68"/>
      <c r="O48" s="68"/>
      <c r="P48" s="68"/>
      <c r="Q48" s="68"/>
      <c r="R48" s="69"/>
      <c r="S48" s="69"/>
      <c r="T48" s="65"/>
      <c r="U48" s="65"/>
      <c r="V48" s="65"/>
      <c r="W48" s="65"/>
      <c r="X48" s="65"/>
      <c r="Y48" s="65"/>
    </row>
    <row r="49" spans="1:25" s="5" customFormat="1" ht="13.8" x14ac:dyDescent="0.3">
      <c r="A49" s="23"/>
      <c r="B49" s="23" t="s">
        <v>44</v>
      </c>
      <c r="C49" s="23"/>
      <c r="D49" s="23"/>
      <c r="E49" s="23"/>
      <c r="F49" s="23"/>
      <c r="G49" s="23"/>
      <c r="H49" s="23"/>
      <c r="I49" s="23"/>
      <c r="J49" s="23"/>
      <c r="K49" s="23"/>
      <c r="M49" s="68"/>
      <c r="N49" s="68"/>
      <c r="O49" s="68"/>
      <c r="P49" s="68"/>
      <c r="Q49" s="68"/>
      <c r="R49" s="69"/>
      <c r="S49" s="69"/>
      <c r="T49" s="65"/>
      <c r="U49" s="65"/>
      <c r="V49" s="65"/>
      <c r="W49" s="65"/>
      <c r="X49" s="65"/>
      <c r="Y49" s="65"/>
    </row>
    <row r="50" spans="1:25" s="5" customFormat="1" ht="13.8" x14ac:dyDescent="0.3">
      <c r="A50" s="23"/>
      <c r="B50" s="23"/>
      <c r="C50" s="23"/>
      <c r="D50" s="23"/>
      <c r="F50" s="150" t="s">
        <v>120</v>
      </c>
      <c r="G50" s="122"/>
      <c r="H50" s="23"/>
      <c r="I50" s="23"/>
      <c r="J50" s="23"/>
      <c r="K50" s="23"/>
      <c r="M50" s="68"/>
      <c r="N50" s="68"/>
      <c r="O50" s="68"/>
      <c r="P50" s="68"/>
      <c r="Q50" s="68"/>
      <c r="R50" s="69"/>
      <c r="S50" s="69"/>
      <c r="T50" s="65"/>
      <c r="U50" s="65"/>
      <c r="V50" s="65"/>
      <c r="W50" s="65"/>
      <c r="X50" s="65"/>
      <c r="Y50" s="65"/>
    </row>
    <row r="51" spans="1:25" s="5" customFormat="1" ht="13.8" x14ac:dyDescent="0.3">
      <c r="A51" s="23"/>
      <c r="B51" s="23"/>
      <c r="C51" s="23"/>
      <c r="D51" s="23"/>
      <c r="E51" s="23"/>
      <c r="F51" s="23"/>
      <c r="G51" s="23"/>
      <c r="H51" s="23"/>
      <c r="I51" s="23"/>
      <c r="J51" s="23"/>
      <c r="K51" s="23"/>
      <c r="M51" s="68"/>
      <c r="N51" s="68"/>
      <c r="O51" s="68"/>
      <c r="P51" s="68"/>
      <c r="Q51" s="68"/>
      <c r="R51" s="69"/>
      <c r="S51" s="69"/>
      <c r="T51" s="65"/>
      <c r="U51" s="65"/>
      <c r="V51" s="65"/>
      <c r="W51" s="65"/>
      <c r="X51" s="65"/>
      <c r="Y51" s="65"/>
    </row>
    <row r="52" spans="1:25" s="5" customFormat="1" ht="12.75" customHeight="1" x14ac:dyDescent="0.3">
      <c r="A52" s="23"/>
      <c r="B52" s="24" t="s">
        <v>45</v>
      </c>
      <c r="C52" s="23"/>
      <c r="D52" s="23"/>
      <c r="E52" s="23"/>
      <c r="F52" s="23"/>
      <c r="G52" s="23"/>
      <c r="H52" s="23"/>
      <c r="I52" s="23"/>
      <c r="J52" s="23"/>
      <c r="K52" s="23"/>
      <c r="M52" s="68"/>
      <c r="N52" s="68"/>
      <c r="O52" s="68"/>
      <c r="P52" s="68"/>
      <c r="Q52" s="68"/>
      <c r="R52" s="69"/>
      <c r="S52" s="69"/>
      <c r="T52" s="65"/>
      <c r="U52" s="65"/>
      <c r="V52" s="65"/>
      <c r="W52" s="65"/>
      <c r="X52" s="65"/>
      <c r="Y52" s="65"/>
    </row>
    <row r="53" spans="1:25" s="5" customFormat="1" ht="13.8" x14ac:dyDescent="0.3">
      <c r="A53" s="23"/>
      <c r="B53" s="23"/>
      <c r="C53" s="23"/>
      <c r="D53" s="23"/>
      <c r="E53" s="23"/>
      <c r="F53" s="23"/>
      <c r="G53" s="23"/>
      <c r="H53" s="23"/>
      <c r="I53" s="23"/>
      <c r="J53" s="23"/>
      <c r="K53" s="23"/>
      <c r="M53" s="68"/>
      <c r="N53" s="68"/>
      <c r="O53" s="68"/>
      <c r="P53" s="68"/>
      <c r="Q53" s="68"/>
      <c r="R53" s="69"/>
      <c r="S53" s="69"/>
      <c r="T53" s="65"/>
      <c r="U53" s="65"/>
      <c r="V53" s="65"/>
      <c r="W53" s="65"/>
      <c r="X53" s="65"/>
      <c r="Y53" s="65"/>
    </row>
    <row r="54" spans="1:25" s="5" customFormat="1" ht="13.8" x14ac:dyDescent="0.3">
      <c r="A54" s="23"/>
      <c r="B54" s="147" t="s">
        <v>46</v>
      </c>
      <c r="C54" s="147"/>
      <c r="D54" s="147"/>
      <c r="E54" s="147"/>
      <c r="F54" s="147"/>
      <c r="G54" s="147"/>
      <c r="H54" s="147"/>
      <c r="I54" s="147"/>
      <c r="J54" s="147"/>
      <c r="K54" s="23"/>
      <c r="M54" s="68"/>
      <c r="N54" s="68"/>
      <c r="O54" s="68"/>
      <c r="P54" s="68"/>
      <c r="Q54" s="68"/>
      <c r="R54" s="69"/>
      <c r="S54" s="69"/>
      <c r="T54" s="65"/>
      <c r="U54" s="65"/>
      <c r="V54" s="65"/>
      <c r="W54" s="65"/>
      <c r="X54" s="65"/>
      <c r="Y54" s="65"/>
    </row>
    <row r="55" spans="1:25" s="5" customFormat="1" ht="13.8" x14ac:dyDescent="0.3">
      <c r="A55" s="23"/>
      <c r="B55" s="147"/>
      <c r="C55" s="147"/>
      <c r="D55" s="147"/>
      <c r="E55" s="147"/>
      <c r="F55" s="147"/>
      <c r="G55" s="147"/>
      <c r="H55" s="147"/>
      <c r="I55" s="147"/>
      <c r="J55" s="147"/>
      <c r="K55" s="23"/>
      <c r="M55" s="68"/>
      <c r="N55" s="68"/>
      <c r="O55" s="68"/>
      <c r="P55" s="68"/>
      <c r="Q55" s="68"/>
      <c r="R55" s="69"/>
      <c r="S55" s="69"/>
      <c r="T55" s="65"/>
      <c r="U55" s="65"/>
      <c r="V55" s="65"/>
      <c r="W55" s="65"/>
      <c r="X55" s="65"/>
      <c r="Y55" s="65"/>
    </row>
    <row r="56" spans="1:25" s="5" customFormat="1" ht="13.8" x14ac:dyDescent="0.3">
      <c r="A56" s="23"/>
      <c r="B56" s="147"/>
      <c r="C56" s="147"/>
      <c r="D56" s="147"/>
      <c r="E56" s="147"/>
      <c r="F56" s="147"/>
      <c r="G56" s="147"/>
      <c r="H56" s="147"/>
      <c r="I56" s="147"/>
      <c r="J56" s="147"/>
      <c r="K56" s="23"/>
      <c r="M56" s="68"/>
      <c r="N56" s="68"/>
      <c r="O56"/>
      <c r="P56" s="68"/>
      <c r="Q56" s="68"/>
      <c r="R56" s="69"/>
      <c r="S56" s="69"/>
      <c r="T56" s="65"/>
      <c r="U56" s="65"/>
      <c r="V56" s="65"/>
      <c r="W56" s="65"/>
      <c r="X56" s="65"/>
      <c r="Y56" s="65"/>
    </row>
    <row r="57" spans="1:25" s="5" customFormat="1" ht="13.8" x14ac:dyDescent="0.3">
      <c r="A57" s="23"/>
      <c r="B57" s="23"/>
      <c r="C57" s="23"/>
      <c r="D57" s="23"/>
      <c r="F57" s="122"/>
      <c r="G57" s="23"/>
      <c r="H57" s="23"/>
      <c r="I57" s="23"/>
      <c r="J57" s="23"/>
      <c r="K57" s="23"/>
      <c r="M57" s="68"/>
      <c r="N57" s="68"/>
      <c r="O57" s="68"/>
      <c r="P57" s="68"/>
      <c r="Q57" s="68"/>
      <c r="R57" s="69"/>
      <c r="S57" s="69"/>
      <c r="T57" s="65"/>
      <c r="U57" s="65"/>
      <c r="V57" s="65"/>
      <c r="W57" s="65"/>
      <c r="X57" s="65"/>
      <c r="Y57" s="65"/>
    </row>
    <row r="58" spans="1:25" s="5" customFormat="1" ht="13.8" x14ac:dyDescent="0.3">
      <c r="A58" s="23"/>
      <c r="B58" s="23"/>
      <c r="C58" s="23"/>
      <c r="D58" s="23"/>
      <c r="E58" s="23"/>
      <c r="F58" s="23"/>
      <c r="G58" s="23"/>
      <c r="H58" s="23"/>
      <c r="I58" s="23"/>
      <c r="J58" s="23"/>
      <c r="K58" s="23"/>
      <c r="M58" s="68"/>
      <c r="N58" s="68"/>
      <c r="O58" s="68"/>
      <c r="P58" s="68"/>
      <c r="Q58" s="68"/>
      <c r="R58" s="69"/>
      <c r="S58" s="69"/>
      <c r="T58" s="65"/>
      <c r="U58" s="65"/>
      <c r="V58" s="65"/>
      <c r="W58" s="65"/>
      <c r="X58" s="65"/>
      <c r="Y58" s="65"/>
    </row>
    <row r="59" spans="1:25" s="5" customFormat="1" ht="13.8" x14ac:dyDescent="0.3">
      <c r="K59" s="23"/>
      <c r="M59" s="68"/>
      <c r="N59" s="68"/>
      <c r="O59" s="151"/>
      <c r="P59" s="68"/>
      <c r="Q59" s="68"/>
      <c r="R59" s="69"/>
      <c r="S59" s="69"/>
      <c r="T59" s="65"/>
      <c r="U59" s="65"/>
      <c r="V59" s="65"/>
      <c r="W59" s="65"/>
      <c r="X59" s="65"/>
      <c r="Y59" s="65"/>
    </row>
    <row r="60" spans="1:25" s="5" customFormat="1" ht="13.8" x14ac:dyDescent="0.3">
      <c r="A60" s="23"/>
      <c r="B60" s="23" t="s">
        <v>47</v>
      </c>
      <c r="C60" s="23"/>
      <c r="D60" s="23"/>
      <c r="E60" s="23"/>
      <c r="F60" s="23"/>
      <c r="G60" s="23"/>
      <c r="H60" s="23"/>
      <c r="I60" s="23"/>
      <c r="J60" s="23"/>
      <c r="K60" s="23"/>
      <c r="M60" s="68"/>
      <c r="N60" s="68"/>
      <c r="O60" s="68"/>
      <c r="P60" s="68"/>
      <c r="Q60" s="68"/>
      <c r="R60" s="69"/>
      <c r="S60" s="69"/>
      <c r="T60" s="65"/>
      <c r="U60" s="65"/>
      <c r="V60" s="65"/>
      <c r="W60" s="65"/>
      <c r="X60" s="65"/>
      <c r="Y60" s="65"/>
    </row>
    <row r="61" spans="1:25" s="5" customFormat="1" ht="13.8" x14ac:dyDescent="0.3">
      <c r="A61" s="23"/>
      <c r="C61" s="23"/>
      <c r="D61" s="23"/>
      <c r="F61" s="150" t="s">
        <v>121</v>
      </c>
      <c r="G61" s="57"/>
      <c r="H61" s="23"/>
      <c r="I61" s="23"/>
      <c r="J61" s="23"/>
      <c r="K61" s="23"/>
      <c r="M61" s="68"/>
      <c r="N61" s="68"/>
      <c r="O61" s="68"/>
      <c r="P61" s="68"/>
      <c r="Q61" s="68"/>
      <c r="R61" s="69"/>
      <c r="S61" s="69"/>
      <c r="T61" s="65"/>
      <c r="U61" s="65"/>
      <c r="V61" s="65"/>
      <c r="W61" s="65"/>
      <c r="X61" s="65"/>
      <c r="Y61" s="65"/>
    </row>
    <row r="62" spans="1:25" s="5" customFormat="1" ht="13.8" x14ac:dyDescent="0.3">
      <c r="A62" s="23"/>
      <c r="B62" s="23"/>
      <c r="C62" s="23"/>
      <c r="D62" s="23"/>
      <c r="E62" s="23"/>
      <c r="F62" s="23"/>
      <c r="G62" s="23"/>
      <c r="H62" s="23"/>
      <c r="I62" s="23"/>
      <c r="J62" s="23"/>
      <c r="K62" s="23"/>
      <c r="M62" s="68"/>
      <c r="N62" s="68"/>
      <c r="O62" s="68"/>
      <c r="P62" s="68"/>
      <c r="Q62" s="68"/>
      <c r="R62" s="69"/>
      <c r="S62" s="69"/>
      <c r="T62" s="65"/>
      <c r="U62" s="65"/>
      <c r="V62" s="65"/>
      <c r="W62" s="65"/>
      <c r="X62" s="65"/>
      <c r="Y62" s="6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755"/>
  <sheetViews>
    <sheetView tabSelected="1" view="pageBreakPreview" zoomScale="70" zoomScaleNormal="100" zoomScaleSheetLayoutView="70" workbookViewId="0">
      <selection activeCell="J20" sqref="J20"/>
    </sheetView>
  </sheetViews>
  <sheetFormatPr defaultColWidth="9.109375" defaultRowHeight="15.6" x14ac:dyDescent="0.3"/>
  <cols>
    <col min="1" max="1" width="9.109375" style="25"/>
    <col min="2" max="2" width="9.33203125" style="25" bestFit="1" customWidth="1"/>
    <col min="3" max="3" width="9.5546875" style="25" bestFit="1" customWidth="1"/>
    <col min="4" max="11" width="9.109375" style="25"/>
    <col min="12" max="12" width="5.44140625" style="26" customWidth="1"/>
    <col min="13" max="20" width="4.109375" style="27" customWidth="1"/>
    <col min="21" max="16384" width="9.109375" style="25"/>
  </cols>
  <sheetData>
    <row r="1" spans="1:35" s="5" customFormat="1" ht="13.8" x14ac:dyDescent="0.3">
      <c r="A1" s="1"/>
      <c r="B1" s="2" t="s">
        <v>1</v>
      </c>
      <c r="C1" s="3" t="s">
        <v>0</v>
      </c>
      <c r="D1" s="1"/>
      <c r="E1" s="1"/>
      <c r="F1" s="2" t="s">
        <v>11</v>
      </c>
      <c r="G1" s="4">
        <f>X1</f>
        <v>6</v>
      </c>
      <c r="H1" s="1"/>
      <c r="I1" s="1"/>
      <c r="J1" s="1"/>
      <c r="K1" s="1"/>
      <c r="M1" s="6" t="s">
        <v>12</v>
      </c>
      <c r="N1" s="6" t="s">
        <v>13</v>
      </c>
      <c r="O1" s="6" t="s">
        <v>14</v>
      </c>
      <c r="P1" s="6" t="s">
        <v>14</v>
      </c>
      <c r="Q1" s="6" t="s">
        <v>14</v>
      </c>
      <c r="R1" s="6" t="s">
        <v>15</v>
      </c>
      <c r="S1" s="32" t="s">
        <v>16</v>
      </c>
      <c r="T1" s="33" t="s">
        <v>17</v>
      </c>
      <c r="W1" s="7" t="s">
        <v>18</v>
      </c>
      <c r="X1" s="8">
        <f>SUM(M:M)</f>
        <v>6</v>
      </c>
    </row>
    <row r="2" spans="1:35" s="5" customFormat="1" ht="13.8" x14ac:dyDescent="0.3">
      <c r="A2" s="1"/>
      <c r="B2" s="2" t="s">
        <v>2</v>
      </c>
      <c r="C2" s="3" t="s">
        <v>10</v>
      </c>
      <c r="D2" s="1"/>
      <c r="E2" s="1"/>
      <c r="F2" s="2" t="s">
        <v>5</v>
      </c>
      <c r="G2" s="3" t="s">
        <v>48</v>
      </c>
      <c r="H2" s="1"/>
      <c r="I2" s="1"/>
      <c r="J2" s="1"/>
      <c r="K2" s="1"/>
      <c r="M2" s="9" t="s">
        <v>19</v>
      </c>
      <c r="N2" s="9" t="s">
        <v>19</v>
      </c>
      <c r="O2" s="9" t="s">
        <v>13</v>
      </c>
      <c r="P2" s="9" t="s">
        <v>13</v>
      </c>
      <c r="Q2" s="9" t="s">
        <v>13</v>
      </c>
      <c r="R2" s="9" t="s">
        <v>19</v>
      </c>
      <c r="S2" s="34" t="s">
        <v>19</v>
      </c>
      <c r="T2" s="35"/>
      <c r="W2" s="7" t="s">
        <v>20</v>
      </c>
      <c r="X2" s="8">
        <f>SUM(N:N)</f>
        <v>0</v>
      </c>
    </row>
    <row r="3" spans="1:35" s="5" customFormat="1" ht="13.8" x14ac:dyDescent="0.3">
      <c r="A3" s="1"/>
      <c r="B3" s="2" t="s">
        <v>3</v>
      </c>
      <c r="C3" s="10" t="s">
        <v>21</v>
      </c>
      <c r="D3" s="1"/>
      <c r="E3" s="1"/>
      <c r="F3" s="2" t="s">
        <v>4</v>
      </c>
      <c r="G3" s="3" t="s">
        <v>22</v>
      </c>
      <c r="H3" s="1"/>
      <c r="I3" s="1"/>
      <c r="J3" s="1"/>
      <c r="K3" s="1"/>
      <c r="M3" s="9"/>
      <c r="N3" s="9"/>
      <c r="O3" s="9"/>
      <c r="P3" s="9"/>
      <c r="Q3" s="9"/>
      <c r="R3" s="9"/>
      <c r="S3" s="34"/>
      <c r="T3" s="35"/>
      <c r="W3" s="7" t="s">
        <v>23</v>
      </c>
      <c r="X3" s="8">
        <f>SUM(O:O)</f>
        <v>0</v>
      </c>
    </row>
    <row r="4" spans="1:35" s="5" customFormat="1" ht="13.8" x14ac:dyDescent="0.3">
      <c r="A4" s="1"/>
      <c r="B4" s="2" t="s">
        <v>24</v>
      </c>
      <c r="C4" s="4"/>
      <c r="D4" s="1"/>
      <c r="E4" s="1"/>
      <c r="F4" s="2" t="s">
        <v>25</v>
      </c>
      <c r="G4" s="3" t="s">
        <v>49</v>
      </c>
      <c r="H4" s="1"/>
      <c r="I4" s="1"/>
      <c r="J4" s="1"/>
      <c r="K4" s="1"/>
      <c r="M4" s="9"/>
      <c r="N4" s="9"/>
      <c r="O4" s="9"/>
      <c r="P4" s="9"/>
      <c r="Q4" s="11"/>
      <c r="R4" s="12"/>
      <c r="S4" s="36"/>
      <c r="T4" s="35"/>
      <c r="W4" s="7" t="s">
        <v>23</v>
      </c>
      <c r="X4" s="8">
        <f>SUM(P:P)</f>
        <v>0</v>
      </c>
    </row>
    <row r="5" spans="1:35" s="5" customFormat="1" ht="13.8" x14ac:dyDescent="0.3">
      <c r="A5" s="1"/>
      <c r="B5" s="2" t="s">
        <v>27</v>
      </c>
      <c r="C5" s="4" t="s">
        <v>34</v>
      </c>
      <c r="D5" s="1"/>
      <c r="E5" s="2"/>
      <c r="F5" s="1"/>
      <c r="G5" s="1"/>
      <c r="H5" s="1"/>
      <c r="I5" s="1"/>
      <c r="J5" s="1"/>
      <c r="K5" s="1"/>
      <c r="M5" s="9"/>
      <c r="N5" s="9"/>
      <c r="O5" s="9"/>
      <c r="P5" s="9"/>
      <c r="Q5" s="11"/>
      <c r="R5" s="12"/>
      <c r="S5" s="36"/>
      <c r="T5" s="35"/>
      <c r="W5" s="7" t="s">
        <v>23</v>
      </c>
      <c r="X5" s="8">
        <f>SUM(Q:Q)</f>
        <v>0</v>
      </c>
    </row>
    <row r="6" spans="1:35" s="5" customFormat="1" ht="13.8" x14ac:dyDescent="0.3">
      <c r="A6" s="1"/>
      <c r="B6" s="1" t="s">
        <v>7</v>
      </c>
      <c r="C6" s="13"/>
      <c r="D6" s="1"/>
      <c r="E6" s="1"/>
      <c r="F6" s="1"/>
      <c r="G6" s="1"/>
      <c r="H6" s="1"/>
      <c r="I6" s="1"/>
      <c r="J6" s="1"/>
      <c r="K6" s="1"/>
      <c r="M6" s="9"/>
      <c r="N6" s="9"/>
      <c r="O6" s="9"/>
      <c r="P6" s="9"/>
      <c r="Q6" s="11"/>
      <c r="R6" s="12"/>
      <c r="S6" s="36"/>
      <c r="T6" s="35"/>
      <c r="W6" s="7" t="s">
        <v>28</v>
      </c>
      <c r="X6" s="8">
        <f>SUM(R:R)</f>
        <v>0</v>
      </c>
    </row>
    <row r="7" spans="1:35" s="5" customFormat="1" ht="13.8" x14ac:dyDescent="0.3">
      <c r="A7" s="1"/>
      <c r="B7" s="1"/>
      <c r="C7" s="1"/>
      <c r="D7" s="1"/>
      <c r="E7" s="1"/>
      <c r="F7" s="1"/>
      <c r="G7" s="1"/>
      <c r="H7" s="1"/>
      <c r="I7" s="1"/>
      <c r="J7" s="1"/>
      <c r="K7" s="1"/>
      <c r="M7" s="9"/>
      <c r="N7" s="9"/>
      <c r="O7" s="9"/>
      <c r="P7" s="9"/>
      <c r="Q7" s="11"/>
      <c r="R7" s="12"/>
      <c r="S7" s="36"/>
      <c r="T7" s="35"/>
      <c r="W7" s="7" t="s">
        <v>29</v>
      </c>
      <c r="X7" s="8">
        <f>SUM(S:S)</f>
        <v>0</v>
      </c>
    </row>
    <row r="8" spans="1:35" s="5" customFormat="1" ht="13.8" x14ac:dyDescent="0.3">
      <c r="A8" s="14"/>
      <c r="E8" s="7" t="s">
        <v>1</v>
      </c>
      <c r="F8" s="8" t="str">
        <f>$C$1</f>
        <v>R. Abbott</v>
      </c>
      <c r="H8" s="15"/>
      <c r="I8" s="7" t="s">
        <v>8</v>
      </c>
      <c r="J8" s="16" t="str">
        <f>$G$2</f>
        <v>AA-SM-515</v>
      </c>
      <c r="K8" s="17"/>
      <c r="L8" s="18"/>
      <c r="M8" s="9"/>
      <c r="N8" s="9"/>
      <c r="O8" s="9"/>
      <c r="P8" s="9"/>
      <c r="Q8" s="11"/>
      <c r="R8" s="12"/>
      <c r="S8" s="36"/>
      <c r="T8" s="35"/>
    </row>
    <row r="9" spans="1:35" s="5" customFormat="1" ht="13.8" x14ac:dyDescent="0.3">
      <c r="E9" s="7" t="s">
        <v>2</v>
      </c>
      <c r="F9" s="15" t="str">
        <f>$C$2</f>
        <v xml:space="preserve"> </v>
      </c>
      <c r="H9" s="15"/>
      <c r="I9" s="7" t="s">
        <v>9</v>
      </c>
      <c r="J9" s="17" t="str">
        <f>$G$3</f>
        <v>IR</v>
      </c>
      <c r="K9" s="17"/>
      <c r="L9" s="18"/>
      <c r="M9" s="9">
        <v>1</v>
      </c>
      <c r="N9" s="9"/>
      <c r="O9" s="9"/>
      <c r="P9" s="9"/>
      <c r="Q9" s="11"/>
      <c r="R9" s="12"/>
      <c r="S9" s="36"/>
      <c r="T9" s="35"/>
    </row>
    <row r="10" spans="1:35" s="5" customFormat="1" ht="13.8" x14ac:dyDescent="0.3">
      <c r="E10" s="7" t="s">
        <v>3</v>
      </c>
      <c r="F10" s="15" t="str">
        <f>$C$3</f>
        <v>20/10/2013</v>
      </c>
      <c r="H10" s="15"/>
      <c r="I10" s="7" t="s">
        <v>6</v>
      </c>
      <c r="J10" s="8" t="str">
        <f>L10&amp;" of "&amp;$G$1</f>
        <v>1 of 6</v>
      </c>
      <c r="K10" s="15"/>
      <c r="L10" s="18">
        <f>SUM($M$1:M9)</f>
        <v>1</v>
      </c>
      <c r="M10" s="9"/>
      <c r="N10" s="9"/>
      <c r="O10" s="9"/>
      <c r="P10" s="9"/>
      <c r="Q10" s="11"/>
      <c r="R10" s="12"/>
      <c r="S10" s="36"/>
      <c r="T10" s="35"/>
    </row>
    <row r="11" spans="1:35" s="5" customFormat="1" ht="13.8" x14ac:dyDescent="0.3">
      <c r="A11" s="26"/>
      <c r="B11" s="26"/>
      <c r="C11" s="26"/>
      <c r="D11" s="26"/>
      <c r="E11" s="7" t="s">
        <v>30</v>
      </c>
      <c r="F11" s="15" t="str">
        <f>$C$5</f>
        <v>STANDARD SPREADSHEET METHOD</v>
      </c>
      <c r="I11" s="19"/>
      <c r="J11" s="8"/>
      <c r="M11" s="9"/>
      <c r="N11" s="9"/>
      <c r="O11" s="9"/>
      <c r="P11" s="9"/>
      <c r="Q11" s="9"/>
      <c r="R11" s="9"/>
      <c r="S11" s="34"/>
      <c r="T11" s="35"/>
    </row>
    <row r="12" spans="1:35" s="28" customFormat="1" x14ac:dyDescent="0.3">
      <c r="A12" s="73"/>
      <c r="B12" s="21" t="str">
        <f>$G$4</f>
        <v>SIMPLIFIED PART 23 AIRCRAFT LOADS</v>
      </c>
      <c r="C12" s="74"/>
      <c r="D12" s="74"/>
      <c r="E12" s="75"/>
      <c r="F12" s="74"/>
      <c r="G12" s="74"/>
      <c r="H12" s="74"/>
      <c r="I12" s="74"/>
      <c r="J12" s="74"/>
      <c r="K12" s="74"/>
      <c r="L12" s="30"/>
      <c r="M12" s="37"/>
      <c r="N12" s="38"/>
      <c r="O12" s="38"/>
      <c r="P12" s="38"/>
      <c r="Q12" s="38"/>
      <c r="R12" s="37"/>
      <c r="S12" s="37"/>
      <c r="T12" s="39"/>
    </row>
    <row r="13" spans="1:35" s="26" customFormat="1" ht="13.8" x14ac:dyDescent="0.3">
      <c r="A13" s="76"/>
      <c r="B13" s="76" t="s">
        <v>50</v>
      </c>
      <c r="C13" s="76"/>
      <c r="D13" s="76"/>
      <c r="E13" s="76"/>
      <c r="F13" s="76"/>
      <c r="G13" s="76"/>
      <c r="H13" s="76"/>
      <c r="I13" s="76"/>
      <c r="J13" s="76"/>
      <c r="K13" s="76"/>
      <c r="L13" s="29"/>
      <c r="M13" s="27"/>
      <c r="N13" s="27"/>
      <c r="O13" s="27"/>
      <c r="P13" s="27"/>
      <c r="Q13" s="27"/>
      <c r="R13" s="27"/>
      <c r="S13" s="27"/>
      <c r="T13" s="27"/>
    </row>
    <row r="14" spans="1:35" s="26" customFormat="1" ht="13.8" x14ac:dyDescent="0.3">
      <c r="A14" s="76"/>
      <c r="B14" s="117" t="s">
        <v>51</v>
      </c>
      <c r="C14" s="76"/>
      <c r="D14" s="79"/>
      <c r="E14" s="76"/>
      <c r="F14" s="76"/>
      <c r="G14" s="80"/>
      <c r="H14" s="76"/>
      <c r="I14" s="76"/>
      <c r="J14" s="76"/>
      <c r="K14" s="76"/>
      <c r="M14" s="27"/>
      <c r="N14" s="27"/>
      <c r="O14" s="27"/>
      <c r="P14" s="27"/>
      <c r="Q14" s="27"/>
      <c r="R14" s="27"/>
      <c r="S14" s="27"/>
      <c r="T14" s="27"/>
    </row>
    <row r="15" spans="1:35" s="26" customFormat="1" ht="13.8" x14ac:dyDescent="0.3">
      <c r="A15" s="76"/>
      <c r="C15" s="76"/>
      <c r="D15" s="79"/>
      <c r="E15" s="76"/>
      <c r="F15" s="76"/>
      <c r="G15" s="76"/>
      <c r="H15" s="76"/>
      <c r="I15" s="76"/>
      <c r="J15" s="76"/>
      <c r="K15" s="76"/>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3">
      <c r="A16" s="76"/>
      <c r="B16" s="76"/>
      <c r="C16" s="76"/>
      <c r="D16" s="79"/>
      <c r="E16" s="76"/>
      <c r="F16" s="76"/>
      <c r="G16" s="76"/>
      <c r="H16" s="76"/>
      <c r="I16" s="76"/>
      <c r="J16" s="76"/>
      <c r="K16" s="76"/>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3.8" x14ac:dyDescent="0.3">
      <c r="A17" s="80"/>
      <c r="B17" s="79" t="s">
        <v>62</v>
      </c>
      <c r="C17" s="105">
        <v>2500</v>
      </c>
      <c r="D17" s="104" t="s">
        <v>64</v>
      </c>
      <c r="E17" s="80"/>
      <c r="F17" s="80"/>
      <c r="G17" s="80"/>
      <c r="K17" s="80"/>
      <c r="L17" s="30"/>
      <c r="M17" s="27"/>
      <c r="N17" s="27"/>
      <c r="O17" s="27"/>
      <c r="P17" s="27"/>
      <c r="Q17" s="27"/>
      <c r="R17" s="27"/>
      <c r="S17" s="27"/>
      <c r="T17" s="27"/>
      <c r="U17" s="30"/>
      <c r="V17" s="40"/>
      <c r="W17" s="40"/>
      <c r="X17" s="30"/>
      <c r="Y17" s="5"/>
      <c r="Z17" s="46"/>
      <c r="AA17" s="110" t="s">
        <v>70</v>
      </c>
      <c r="AB17" s="110" t="s">
        <v>69</v>
      </c>
      <c r="AC17" s="110" t="s">
        <v>68</v>
      </c>
      <c r="AD17" s="5"/>
      <c r="AE17" s="5"/>
      <c r="AF17" s="5"/>
      <c r="AG17" s="5"/>
      <c r="AH17" s="5"/>
      <c r="AI17" s="5"/>
    </row>
    <row r="18" spans="1:35" s="28" customFormat="1" ht="13.8" x14ac:dyDescent="0.3">
      <c r="A18" s="76"/>
      <c r="B18" s="79" t="s">
        <v>63</v>
      </c>
      <c r="C18" s="109">
        <v>197</v>
      </c>
      <c r="D18" s="104" t="s">
        <v>65</v>
      </c>
      <c r="E18" s="76"/>
      <c r="F18" s="76"/>
      <c r="G18" s="76"/>
      <c r="K18" s="76"/>
      <c r="L18" s="30"/>
      <c r="M18" s="27"/>
      <c r="N18" s="27"/>
      <c r="O18" s="27"/>
      <c r="P18" s="27"/>
      <c r="Q18" s="27"/>
      <c r="R18" s="27"/>
      <c r="S18" s="27"/>
      <c r="T18" s="27"/>
      <c r="U18" s="30"/>
      <c r="V18" s="40"/>
      <c r="W18" s="40"/>
      <c r="X18" s="30"/>
      <c r="Y18" s="5"/>
      <c r="Z18" s="46">
        <v>1</v>
      </c>
      <c r="AA18" s="29">
        <v>3.8</v>
      </c>
      <c r="AB18" s="31">
        <v>4.4000000000000004</v>
      </c>
      <c r="AC18" s="47">
        <v>6</v>
      </c>
      <c r="AD18" s="5"/>
      <c r="AE18" s="48"/>
      <c r="AF18" s="47"/>
      <c r="AG18" s="47"/>
      <c r="AH18" s="47"/>
      <c r="AI18" s="5"/>
    </row>
    <row r="19" spans="1:35" s="28" customFormat="1" ht="13.8" x14ac:dyDescent="0.3">
      <c r="A19" s="76"/>
      <c r="B19" s="106" t="s">
        <v>66</v>
      </c>
      <c r="C19" s="107">
        <f>C17/C18</f>
        <v>12.690355329949238</v>
      </c>
      <c r="D19" s="104" t="s">
        <v>86</v>
      </c>
      <c r="E19" s="76"/>
      <c r="F19" s="76"/>
      <c r="G19" s="76"/>
      <c r="K19" s="76"/>
      <c r="L19" s="30"/>
      <c r="M19" s="27"/>
      <c r="N19" s="27"/>
      <c r="O19" s="27"/>
      <c r="P19" s="27"/>
      <c r="Q19" s="27"/>
      <c r="R19" s="27"/>
      <c r="S19" s="27"/>
      <c r="T19" s="27"/>
      <c r="U19" s="30"/>
      <c r="V19" s="40"/>
      <c r="W19" s="40"/>
      <c r="X19" s="30"/>
      <c r="Y19" s="23"/>
      <c r="Z19" s="46">
        <v>2</v>
      </c>
      <c r="AA19" s="29">
        <f>-AA18/2</f>
        <v>-1.9</v>
      </c>
      <c r="AB19" s="29">
        <f>-AB18/2</f>
        <v>-2.2000000000000002</v>
      </c>
      <c r="AC19" s="29">
        <f>-AC18/2</f>
        <v>-3</v>
      </c>
      <c r="AD19" s="47"/>
      <c r="AE19" s="47"/>
      <c r="AF19" s="47"/>
      <c r="AG19" s="47"/>
      <c r="AH19" s="47"/>
      <c r="AI19" s="23"/>
    </row>
    <row r="20" spans="1:35" s="28" customFormat="1" ht="13.8" x14ac:dyDescent="0.3">
      <c r="A20" s="82"/>
      <c r="I20" s="76"/>
      <c r="J20" s="76"/>
      <c r="K20" s="76"/>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3.8" x14ac:dyDescent="0.3">
      <c r="B21" s="79" t="s">
        <v>62</v>
      </c>
      <c r="C21" s="105">
        <v>1700</v>
      </c>
      <c r="D21" s="104" t="s">
        <v>87</v>
      </c>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3.8" x14ac:dyDescent="0.3">
      <c r="B22" s="79" t="s">
        <v>63</v>
      </c>
      <c r="C22" s="119">
        <f>C18</f>
        <v>197</v>
      </c>
      <c r="D22" s="104" t="s">
        <v>65</v>
      </c>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3.8" x14ac:dyDescent="0.3">
      <c r="B23" s="106" t="s">
        <v>66</v>
      </c>
      <c r="C23" s="107">
        <f>C21/C22</f>
        <v>8.6294416243654819</v>
      </c>
      <c r="D23" s="104" t="s">
        <v>88</v>
      </c>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3.8" x14ac:dyDescent="0.3">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3.8" x14ac:dyDescent="0.3">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3.8" x14ac:dyDescent="0.3">
      <c r="A26" s="82"/>
      <c r="B26" s="83" t="s">
        <v>52</v>
      </c>
      <c r="C26" s="80" t="s">
        <v>56</v>
      </c>
      <c r="D26" s="80"/>
      <c r="E26" s="76"/>
      <c r="F26" s="76"/>
      <c r="G26" s="76"/>
      <c r="H26" s="84"/>
      <c r="I26" s="80"/>
      <c r="J26" s="80"/>
      <c r="K26" s="76"/>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3.8" x14ac:dyDescent="0.3">
      <c r="A27" s="82"/>
      <c r="B27" s="79" t="s">
        <v>53</v>
      </c>
      <c r="C27" s="81" t="s">
        <v>57</v>
      </c>
      <c r="D27" s="76"/>
      <c r="E27" s="76"/>
      <c r="F27" s="85"/>
      <c r="G27" s="76"/>
      <c r="H27" s="85"/>
      <c r="I27" s="80"/>
      <c r="J27" s="80"/>
      <c r="K27" s="76"/>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5" x14ac:dyDescent="0.35">
      <c r="A28" s="76"/>
      <c r="B28" s="79" t="s">
        <v>54</v>
      </c>
      <c r="C28" s="76" t="s">
        <v>59</v>
      </c>
      <c r="D28" s="76"/>
      <c r="E28" s="76"/>
      <c r="F28" s="85"/>
      <c r="G28" s="76"/>
      <c r="H28" s="85"/>
      <c r="I28" s="80"/>
      <c r="J28" s="80"/>
      <c r="K28" s="76"/>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5" x14ac:dyDescent="0.35">
      <c r="A29" s="82"/>
      <c r="B29" s="83" t="s">
        <v>55</v>
      </c>
      <c r="C29" s="84" t="s">
        <v>60</v>
      </c>
      <c r="D29" s="76"/>
      <c r="E29" s="76"/>
      <c r="F29" s="87"/>
      <c r="G29" s="76"/>
      <c r="H29" s="87"/>
      <c r="I29" s="80"/>
      <c r="J29" s="80"/>
      <c r="K29" s="76"/>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5" x14ac:dyDescent="0.35">
      <c r="A30" s="82"/>
      <c r="B30" s="83" t="s">
        <v>58</v>
      </c>
      <c r="C30" s="82" t="s">
        <v>61</v>
      </c>
      <c r="D30" s="79"/>
      <c r="E30" s="76"/>
      <c r="F30" s="87"/>
      <c r="G30" s="76"/>
      <c r="H30" s="87"/>
      <c r="I30" s="80"/>
      <c r="J30" s="80"/>
      <c r="K30" s="76"/>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3.8" x14ac:dyDescent="0.3">
      <c r="A31" s="82"/>
      <c r="E31" s="76"/>
      <c r="F31" s="87"/>
      <c r="G31" s="76"/>
      <c r="H31" s="87"/>
      <c r="I31" s="80"/>
      <c r="J31" s="80"/>
      <c r="K31" s="82"/>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3.8" x14ac:dyDescent="0.3">
      <c r="A32" s="82"/>
      <c r="B32" s="28" t="s">
        <v>67</v>
      </c>
      <c r="E32" s="76"/>
      <c r="F32" s="87"/>
      <c r="G32" s="76"/>
      <c r="H32" s="87"/>
      <c r="I32" s="80"/>
      <c r="J32" s="80"/>
      <c r="K32" s="82"/>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3.8" x14ac:dyDescent="0.3">
      <c r="A33" s="76"/>
      <c r="C33" s="110" t="s">
        <v>70</v>
      </c>
      <c r="E33" s="76"/>
      <c r="F33" s="76"/>
      <c r="G33" s="76"/>
      <c r="H33" s="76"/>
      <c r="I33" s="76"/>
      <c r="J33" s="76"/>
      <c r="K33" s="76"/>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3.8" x14ac:dyDescent="0.3">
      <c r="A34" s="76"/>
      <c r="E34" s="76"/>
      <c r="F34" s="76"/>
      <c r="G34" s="76"/>
      <c r="H34" s="76"/>
      <c r="I34" s="76"/>
      <c r="J34" s="76"/>
      <c r="K34" s="76"/>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3.8" x14ac:dyDescent="0.3">
      <c r="A35" s="83"/>
      <c r="B35" s="83" t="s">
        <v>52</v>
      </c>
      <c r="C35" s="111">
        <f>INDEX(AA18:AC18,MATCH(C33,AA17:AC17,0))</f>
        <v>3.8</v>
      </c>
      <c r="E35" s="76"/>
      <c r="F35" s="76"/>
      <c r="G35" s="76"/>
      <c r="H35" s="76"/>
      <c r="I35" s="76"/>
      <c r="J35" s="76"/>
      <c r="K35" s="76"/>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3.8" x14ac:dyDescent="0.3">
      <c r="A36" s="79"/>
      <c r="B36" s="79" t="s">
        <v>53</v>
      </c>
      <c r="C36" s="92">
        <f>INDEX(AA19:AC19,MATCH(C33,AA17:AC17,0))</f>
        <v>-1.9</v>
      </c>
      <c r="D36" s="91"/>
      <c r="E36" s="76"/>
      <c r="F36" s="79"/>
      <c r="G36" s="81"/>
      <c r="H36" s="76"/>
      <c r="I36" s="80"/>
      <c r="J36" s="76"/>
      <c r="K36" s="76"/>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3.8" x14ac:dyDescent="0.3">
      <c r="A37" s="83"/>
      <c r="B37" s="80"/>
      <c r="C37" s="80"/>
      <c r="D37" s="91"/>
      <c r="E37" s="76"/>
      <c r="F37" s="79"/>
      <c r="G37" s="76"/>
      <c r="H37" s="76"/>
      <c r="I37" s="80"/>
      <c r="J37" s="84"/>
      <c r="K37" s="84"/>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3.8" x14ac:dyDescent="0.3">
      <c r="A38" s="83"/>
      <c r="B38" s="28" t="s">
        <v>76</v>
      </c>
      <c r="E38" s="76"/>
      <c r="F38" s="83"/>
      <c r="G38" s="84"/>
      <c r="H38" s="76"/>
      <c r="I38" s="80"/>
      <c r="J38" s="84"/>
      <c r="K38" s="84"/>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3.8" x14ac:dyDescent="0.3">
      <c r="A39" s="76"/>
      <c r="E39" s="83"/>
      <c r="F39" s="80"/>
      <c r="G39" s="80"/>
      <c r="I39" s="76"/>
      <c r="J39" s="76"/>
      <c r="K39" s="76"/>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5" x14ac:dyDescent="0.35">
      <c r="A40" s="76"/>
      <c r="B40" s="79" t="s">
        <v>71</v>
      </c>
      <c r="C40" s="28" t="str">
        <f>[1]!xln(C41)</f>
        <v>11 × √[3.8 × 12.7]</v>
      </c>
      <c r="D40" s="76"/>
      <c r="E40" s="79" t="s">
        <v>77</v>
      </c>
      <c r="F40" s="115">
        <v>90</v>
      </c>
      <c r="G40" s="113" t="s">
        <v>75</v>
      </c>
      <c r="I40" s="76"/>
      <c r="J40" s="76"/>
      <c r="K40" s="76"/>
      <c r="L40" s="30"/>
      <c r="M40" s="27"/>
      <c r="N40" s="27"/>
      <c r="O40" s="27"/>
      <c r="P40" s="27"/>
      <c r="Q40" s="27"/>
      <c r="R40" s="27"/>
      <c r="S40" s="27"/>
      <c r="T40" s="27"/>
      <c r="U40" s="30"/>
      <c r="V40" s="40"/>
      <c r="W40" s="40"/>
      <c r="X40" s="30"/>
      <c r="Y40" s="5"/>
      <c r="Z40" s="5"/>
      <c r="AA40" s="5"/>
      <c r="AB40" s="5"/>
      <c r="AC40" s="5"/>
      <c r="AD40" s="5"/>
      <c r="AE40" s="5"/>
      <c r="AF40" s="5"/>
      <c r="AG40" s="5"/>
      <c r="AH40" s="5"/>
      <c r="AI40" s="5"/>
    </row>
    <row r="41" spans="1:35" s="28" customFormat="1" ht="13.8" x14ac:dyDescent="0.3">
      <c r="A41" s="76"/>
      <c r="B41" s="83" t="s">
        <v>85</v>
      </c>
      <c r="C41" s="98">
        <f>11*SQRT(C35*C19)</f>
        <v>76.38733782971272</v>
      </c>
      <c r="D41" s="113" t="s">
        <v>75</v>
      </c>
      <c r="E41" s="83"/>
      <c r="F41" s="107"/>
      <c r="G41" s="76"/>
      <c r="I41" s="76"/>
      <c r="J41" s="76"/>
      <c r="K41" s="76"/>
      <c r="L41" s="30"/>
      <c r="M41" s="27"/>
      <c r="N41" s="27"/>
      <c r="O41" s="27"/>
      <c r="P41" s="27"/>
      <c r="Q41" s="27"/>
      <c r="R41" s="27"/>
      <c r="S41" s="27"/>
      <c r="T41" s="27"/>
      <c r="U41" s="30"/>
      <c r="V41" s="40"/>
      <c r="W41" s="40"/>
      <c r="X41" s="30"/>
      <c r="Y41" s="18"/>
      <c r="Z41" s="5"/>
      <c r="AA41" s="40"/>
      <c r="AB41" s="5"/>
      <c r="AC41" s="5"/>
      <c r="AD41" s="5"/>
      <c r="AE41" s="5"/>
      <c r="AF41" s="5"/>
      <c r="AG41" s="5"/>
      <c r="AH41" s="5"/>
      <c r="AI41" s="51"/>
    </row>
    <row r="42" spans="1:35" s="28" customFormat="1" ht="13.8" x14ac:dyDescent="0.3">
      <c r="A42" s="76"/>
      <c r="F42" s="107"/>
      <c r="G42" s="76"/>
      <c r="I42" s="76"/>
      <c r="J42" s="76"/>
      <c r="K42" s="76"/>
      <c r="L42" s="30"/>
      <c r="M42" s="27"/>
      <c r="N42" s="27"/>
      <c r="O42" s="27"/>
      <c r="P42" s="27"/>
      <c r="Q42" s="27"/>
      <c r="R42" s="27"/>
      <c r="S42" s="27"/>
      <c r="T42" s="27"/>
      <c r="U42" s="30"/>
      <c r="V42" s="40"/>
      <c r="W42" s="40"/>
      <c r="X42" s="30"/>
      <c r="Y42" s="18"/>
      <c r="Z42" s="5"/>
      <c r="AA42" s="40"/>
      <c r="AB42" s="5"/>
      <c r="AC42" s="5"/>
      <c r="AD42" s="5"/>
      <c r="AE42" s="5"/>
      <c r="AF42" s="5"/>
      <c r="AG42" s="5"/>
      <c r="AH42" s="5"/>
      <c r="AI42" s="51"/>
    </row>
    <row r="43" spans="1:35" s="28" customFormat="1" ht="15" x14ac:dyDescent="0.35">
      <c r="A43" s="83"/>
      <c r="B43" s="79" t="s">
        <v>72</v>
      </c>
      <c r="C43" s="28" t="str">
        <f>[1]!xln(C44)</f>
        <v>15 × √[3.8 × 12.7]</v>
      </c>
      <c r="D43" s="76"/>
      <c r="E43" s="79" t="s">
        <v>78</v>
      </c>
      <c r="F43" s="108">
        <v>120</v>
      </c>
      <c r="G43" s="113" t="s">
        <v>75</v>
      </c>
      <c r="I43" s="76"/>
      <c r="J43" s="90"/>
      <c r="K43" s="76"/>
      <c r="L43" s="30"/>
      <c r="M43" s="27"/>
      <c r="N43" s="27"/>
      <c r="O43" s="27"/>
      <c r="P43" s="27"/>
      <c r="Q43" s="27"/>
      <c r="R43" s="27"/>
      <c r="S43" s="27"/>
      <c r="T43" s="27"/>
      <c r="U43" s="30"/>
      <c r="V43" s="40"/>
      <c r="W43" s="40"/>
      <c r="X43" s="30"/>
      <c r="Y43" s="18"/>
      <c r="Z43" s="18"/>
      <c r="AA43" s="40"/>
      <c r="AB43" s="5"/>
      <c r="AC43" s="5"/>
      <c r="AD43" s="5"/>
      <c r="AE43" s="5"/>
      <c r="AF43" s="5"/>
      <c r="AG43" s="5"/>
      <c r="AH43" s="5"/>
      <c r="AI43" s="51"/>
    </row>
    <row r="44" spans="1:35" s="28" customFormat="1" ht="13.8" x14ac:dyDescent="0.3">
      <c r="A44" s="76"/>
      <c r="B44" s="83" t="s">
        <v>85</v>
      </c>
      <c r="C44" s="98">
        <f>15*SQRT(C35*C19)</f>
        <v>104.16455158597188</v>
      </c>
      <c r="D44" s="113" t="s">
        <v>75</v>
      </c>
      <c r="E44" s="112"/>
      <c r="F44" s="107"/>
      <c r="G44" s="76"/>
      <c r="I44" s="76"/>
      <c r="J44" s="76"/>
      <c r="K44" s="76"/>
      <c r="L44" s="30"/>
      <c r="M44" s="27"/>
      <c r="N44" s="27"/>
      <c r="O44" s="27"/>
      <c r="P44" s="27"/>
      <c r="Q44" s="27"/>
      <c r="R44" s="27"/>
      <c r="S44" s="27"/>
      <c r="T44" s="27"/>
      <c r="U44" s="30"/>
      <c r="V44" s="40"/>
      <c r="W44" s="40"/>
      <c r="X44" s="30"/>
      <c r="Y44" s="18"/>
      <c r="Z44" s="5"/>
      <c r="AA44" s="40"/>
      <c r="AB44" s="5"/>
      <c r="AC44" s="5"/>
      <c r="AD44" s="5"/>
      <c r="AE44" s="5"/>
      <c r="AF44" s="5"/>
      <c r="AG44" s="5"/>
      <c r="AH44" s="5"/>
      <c r="AI44" s="51"/>
    </row>
    <row r="45" spans="1:35" s="28" customFormat="1" ht="13.8" x14ac:dyDescent="0.3">
      <c r="A45" s="76"/>
      <c r="F45" s="107"/>
      <c r="G45" s="76"/>
      <c r="I45" s="76"/>
      <c r="J45" s="86"/>
      <c r="K45" s="76"/>
      <c r="L45" s="30"/>
      <c r="M45" s="27"/>
      <c r="N45" s="27"/>
      <c r="O45" s="27"/>
      <c r="P45" s="27"/>
      <c r="Q45" s="27"/>
      <c r="R45" s="27"/>
      <c r="S45" s="27"/>
      <c r="T45" s="27"/>
      <c r="U45" s="30"/>
      <c r="V45" s="40"/>
      <c r="W45" s="40"/>
      <c r="X45" s="30"/>
      <c r="Y45" s="18"/>
      <c r="Z45" s="5"/>
      <c r="AA45" s="40"/>
      <c r="AB45" s="5"/>
      <c r="AC45" s="5"/>
      <c r="AD45" s="5"/>
      <c r="AE45" s="5"/>
      <c r="AF45" s="5"/>
      <c r="AG45" s="5"/>
      <c r="AH45" s="5"/>
      <c r="AI45" s="5"/>
    </row>
    <row r="46" spans="1:35" s="28" customFormat="1" ht="15" x14ac:dyDescent="0.35">
      <c r="A46" s="83"/>
      <c r="B46" s="79" t="s">
        <v>73</v>
      </c>
      <c r="C46" s="28" t="str">
        <f>[1]!xln(C47)</f>
        <v>17 × √[3.8 × 12.7]</v>
      </c>
      <c r="D46" s="76"/>
      <c r="E46" s="79" t="s">
        <v>79</v>
      </c>
      <c r="F46" s="108">
        <v>160</v>
      </c>
      <c r="G46" s="113" t="s">
        <v>75</v>
      </c>
      <c r="I46" s="79" t="s">
        <v>81</v>
      </c>
      <c r="J46" s="116">
        <f>F46/C47</f>
        <v>1.3553216371475063</v>
      </c>
      <c r="K46" s="76"/>
      <c r="L46" s="30"/>
      <c r="M46" s="27"/>
      <c r="N46" s="27"/>
      <c r="O46" s="27"/>
      <c r="P46" s="27"/>
      <c r="Q46" s="27"/>
      <c r="R46" s="27"/>
      <c r="S46" s="27"/>
      <c r="T46" s="27"/>
      <c r="U46" s="30"/>
      <c r="V46" s="40"/>
      <c r="W46" s="40"/>
      <c r="X46" s="30"/>
      <c r="Y46" s="5"/>
      <c r="Z46" s="5"/>
      <c r="AA46" s="5"/>
      <c r="AB46" s="5"/>
      <c r="AC46" s="5"/>
      <c r="AD46" s="5"/>
      <c r="AE46" s="5"/>
      <c r="AF46" s="5"/>
      <c r="AG46" s="5"/>
      <c r="AH46" s="51"/>
      <c r="AI46" s="5"/>
    </row>
    <row r="47" spans="1:35" s="28" customFormat="1" ht="13.8" x14ac:dyDescent="0.3">
      <c r="A47" s="76"/>
      <c r="B47" s="83" t="s">
        <v>85</v>
      </c>
      <c r="C47" s="98">
        <f>17*SQRT(C35*C19)</f>
        <v>118.05315846410147</v>
      </c>
      <c r="D47" s="113" t="s">
        <v>75</v>
      </c>
      <c r="E47" s="79"/>
      <c r="F47" s="114"/>
      <c r="G47" s="80"/>
      <c r="I47" s="76"/>
      <c r="J47" s="76"/>
      <c r="K47" s="76"/>
      <c r="L47" s="30"/>
      <c r="M47" s="27"/>
      <c r="N47" s="27"/>
      <c r="O47" s="27"/>
      <c r="P47" s="27"/>
      <c r="Q47" s="27"/>
      <c r="R47" s="27"/>
      <c r="S47" s="27"/>
      <c r="T47" s="27"/>
      <c r="U47" s="30"/>
      <c r="V47" s="40"/>
      <c r="W47" s="40"/>
      <c r="X47" s="30"/>
      <c r="Y47" s="18"/>
      <c r="Z47" s="5"/>
      <c r="AA47" s="55"/>
      <c r="AB47" s="5"/>
      <c r="AC47" s="5"/>
      <c r="AD47" s="5"/>
      <c r="AE47" s="5"/>
      <c r="AF47" s="5"/>
      <c r="AG47" s="5"/>
      <c r="AH47" s="5"/>
      <c r="AI47" s="5"/>
    </row>
    <row r="48" spans="1:35" s="28" customFormat="1" ht="13.8" x14ac:dyDescent="0.3">
      <c r="A48" s="76"/>
      <c r="F48" s="107"/>
      <c r="G48" s="76"/>
      <c r="I48" s="76"/>
      <c r="J48" s="76"/>
      <c r="K48" s="76"/>
      <c r="L48" s="30"/>
      <c r="M48" s="27"/>
      <c r="N48" s="27"/>
      <c r="O48" s="27"/>
      <c r="P48" s="27"/>
      <c r="Q48" s="27"/>
      <c r="R48" s="27"/>
      <c r="S48" s="27"/>
      <c r="T48" s="27"/>
      <c r="U48" s="30"/>
      <c r="V48" s="40"/>
      <c r="W48" s="40"/>
      <c r="X48" s="30"/>
      <c r="Y48" s="52"/>
      <c r="Z48" s="5"/>
      <c r="AA48" s="41"/>
      <c r="AB48" s="5"/>
      <c r="AC48" s="5"/>
      <c r="AD48" s="5"/>
      <c r="AE48" s="5"/>
      <c r="AF48" s="5"/>
      <c r="AG48" s="5"/>
      <c r="AH48" s="5"/>
      <c r="AI48" s="5"/>
    </row>
    <row r="49" spans="1:35" s="28" customFormat="1" ht="15" x14ac:dyDescent="0.35">
      <c r="A49" s="83"/>
      <c r="B49" s="95" t="s">
        <v>74</v>
      </c>
      <c r="C49" s="28" t="str">
        <f>[1]!xln(C50)</f>
        <v>24 × √[3.8 × 12.7]</v>
      </c>
      <c r="D49" s="91"/>
      <c r="E49" s="95" t="s">
        <v>80</v>
      </c>
      <c r="F49" s="108">
        <v>190</v>
      </c>
      <c r="G49" s="113" t="s">
        <v>75</v>
      </c>
      <c r="I49" s="76"/>
      <c r="J49" s="76"/>
      <c r="K49" s="76"/>
      <c r="L49" s="30"/>
      <c r="M49" s="27"/>
      <c r="N49" s="27"/>
      <c r="O49" s="27"/>
      <c r="P49" s="27"/>
      <c r="Q49" s="27"/>
      <c r="R49" s="27"/>
      <c r="S49" s="27"/>
      <c r="T49" s="27"/>
      <c r="U49" s="30"/>
      <c r="V49" s="40"/>
      <c r="W49" s="40"/>
      <c r="X49" s="30"/>
      <c r="Y49" s="52"/>
      <c r="Z49" s="18"/>
      <c r="AA49" s="41"/>
      <c r="AB49" s="5"/>
      <c r="AC49" s="5"/>
      <c r="AD49" s="5"/>
      <c r="AE49" s="5"/>
      <c r="AF49" s="5"/>
      <c r="AG49" s="5"/>
      <c r="AH49" s="5"/>
      <c r="AI49" s="5"/>
    </row>
    <row r="50" spans="1:35" s="28" customFormat="1" ht="13.8" x14ac:dyDescent="0.3">
      <c r="A50" s="76"/>
      <c r="B50" s="83" t="s">
        <v>85</v>
      </c>
      <c r="C50" s="98">
        <f>24*SQRT(C35*C19)</f>
        <v>166.66328253755501</v>
      </c>
      <c r="D50" s="113" t="s">
        <v>75</v>
      </c>
      <c r="E50" s="79"/>
      <c r="F50" s="99"/>
      <c r="G50" s="80"/>
      <c r="I50" s="100"/>
      <c r="J50" s="76"/>
      <c r="K50" s="76"/>
      <c r="L50" s="30"/>
      <c r="M50" s="27"/>
      <c r="N50" s="27"/>
      <c r="O50" s="27"/>
      <c r="P50" s="27"/>
      <c r="Q50" s="27"/>
      <c r="R50" s="27"/>
      <c r="S50" s="27"/>
      <c r="T50" s="27"/>
      <c r="U50" s="30"/>
      <c r="V50" s="40"/>
      <c r="W50" s="40"/>
      <c r="X50" s="30"/>
      <c r="Y50" s="18"/>
      <c r="Z50" s="51"/>
      <c r="AA50" s="55"/>
      <c r="AB50" s="51"/>
      <c r="AC50" s="5"/>
      <c r="AD50" s="5"/>
      <c r="AE50" s="5"/>
      <c r="AF50" s="5"/>
      <c r="AG50" s="5"/>
      <c r="AH50" s="5"/>
      <c r="AI50" s="5"/>
    </row>
    <row r="51" spans="1:35" s="28" customFormat="1" ht="13.8" x14ac:dyDescent="0.3">
      <c r="A51" s="76"/>
      <c r="B51" s="94"/>
      <c r="C51" s="98"/>
      <c r="D51" s="76"/>
      <c r="E51" s="76"/>
      <c r="F51" s="76"/>
      <c r="G51" s="76"/>
      <c r="H51" s="76"/>
      <c r="I51" s="76"/>
      <c r="J51" s="76"/>
      <c r="K51" s="76"/>
      <c r="L51" s="30"/>
      <c r="M51" s="27"/>
      <c r="N51" s="27"/>
      <c r="O51" s="27"/>
      <c r="P51" s="27"/>
      <c r="Q51" s="27"/>
      <c r="R51" s="27"/>
      <c r="S51" s="27"/>
      <c r="T51" s="27"/>
      <c r="U51" s="30"/>
      <c r="V51" s="40"/>
      <c r="W51" s="40"/>
      <c r="X51" s="30"/>
      <c r="Y51" s="18"/>
      <c r="Z51" s="5"/>
      <c r="AA51" s="41"/>
      <c r="AB51" s="5"/>
      <c r="AC51" s="5"/>
      <c r="AD51" s="5"/>
      <c r="AE51" s="5"/>
      <c r="AF51" s="5"/>
      <c r="AG51" s="5"/>
      <c r="AH51" s="5"/>
      <c r="AI51" s="5"/>
    </row>
    <row r="52" spans="1:35" s="28" customFormat="1" ht="13.8" x14ac:dyDescent="0.3">
      <c r="A52" s="5"/>
      <c r="B52" s="5"/>
      <c r="C52" s="46"/>
      <c r="D52" s="46"/>
      <c r="E52" s="46"/>
      <c r="F52" s="46"/>
      <c r="G52" s="5"/>
      <c r="H52" s="46"/>
      <c r="I52" s="46"/>
      <c r="J52" s="5"/>
      <c r="K52" s="5"/>
      <c r="L52" s="30"/>
      <c r="M52" s="27"/>
      <c r="N52" s="27"/>
      <c r="O52" s="27"/>
      <c r="P52" s="27"/>
      <c r="Q52" s="27"/>
      <c r="R52" s="27"/>
      <c r="S52" s="27"/>
      <c r="T52" s="27"/>
      <c r="U52" s="30"/>
      <c r="V52" s="40"/>
      <c r="W52" s="40"/>
      <c r="X52" s="30"/>
      <c r="Y52" s="5"/>
      <c r="Z52" s="5"/>
      <c r="AA52" s="5"/>
      <c r="AB52" s="5"/>
      <c r="AC52" s="5"/>
      <c r="AD52" s="5"/>
      <c r="AE52" s="5"/>
      <c r="AF52" s="5"/>
      <c r="AG52" s="5"/>
      <c r="AH52" s="5"/>
      <c r="AI52" s="5"/>
    </row>
    <row r="53" spans="1:35" s="28" customFormat="1" ht="13.8" x14ac:dyDescent="0.3">
      <c r="A53" s="5"/>
      <c r="B53" s="46"/>
      <c r="C53" s="53"/>
      <c r="D53" s="43"/>
      <c r="E53" s="49"/>
      <c r="F53" s="40"/>
      <c r="G53" s="5"/>
      <c r="H53" s="49"/>
      <c r="I53" s="40"/>
      <c r="J53" s="47"/>
      <c r="K53" s="47"/>
      <c r="L53" s="30"/>
      <c r="M53" s="27"/>
      <c r="N53" s="27"/>
      <c r="O53" s="27"/>
      <c r="P53" s="27"/>
      <c r="Q53" s="27"/>
      <c r="R53" s="27"/>
      <c r="S53" s="27"/>
      <c r="T53" s="27"/>
      <c r="U53" s="30"/>
      <c r="V53" s="40"/>
      <c r="W53" s="40"/>
      <c r="X53" s="30"/>
    </row>
    <row r="54" spans="1:35" s="28" customFormat="1" ht="13.8" x14ac:dyDescent="0.3">
      <c r="A54" s="5"/>
      <c r="B54" s="46"/>
      <c r="C54" s="53"/>
      <c r="D54" s="43"/>
      <c r="E54" s="49"/>
      <c r="F54" s="40"/>
      <c r="G54" s="5"/>
      <c r="H54" s="49"/>
      <c r="I54" s="40"/>
      <c r="J54" s="47"/>
      <c r="K54" s="47"/>
      <c r="L54" s="30"/>
      <c r="M54" s="27"/>
      <c r="N54" s="27"/>
      <c r="O54" s="27"/>
      <c r="P54" s="27"/>
      <c r="Q54" s="27"/>
      <c r="R54" s="27"/>
      <c r="S54" s="27"/>
      <c r="T54" s="27"/>
      <c r="U54" s="30"/>
      <c r="V54" s="40"/>
      <c r="W54" s="40"/>
      <c r="X54" s="30"/>
    </row>
    <row r="55" spans="1:35" s="28" customFormat="1" ht="13.8" x14ac:dyDescent="0.3">
      <c r="A55" s="5"/>
      <c r="B55" s="46"/>
      <c r="C55" s="53"/>
      <c r="D55" s="43"/>
      <c r="E55" s="49"/>
      <c r="F55" s="40"/>
      <c r="G55" s="5"/>
      <c r="H55" s="49"/>
      <c r="I55" s="40"/>
      <c r="J55" s="47"/>
      <c r="K55" s="47"/>
      <c r="L55" s="30"/>
      <c r="M55" s="27"/>
      <c r="N55" s="27"/>
      <c r="O55" s="27"/>
      <c r="P55" s="27"/>
      <c r="Q55" s="27"/>
      <c r="R55" s="27"/>
      <c r="S55" s="27"/>
      <c r="T55" s="27"/>
      <c r="U55" s="30"/>
      <c r="V55" s="56"/>
      <c r="W55" s="40"/>
      <c r="X55" s="30"/>
    </row>
    <row r="56" spans="1:35" s="28" customFormat="1" ht="13.8" x14ac:dyDescent="0.3">
      <c r="A56" s="5"/>
      <c r="B56" s="46"/>
      <c r="C56" s="53"/>
      <c r="D56" s="43"/>
      <c r="E56" s="49"/>
      <c r="F56" s="40"/>
      <c r="G56" s="5"/>
      <c r="H56" s="49"/>
      <c r="I56" s="40"/>
      <c r="J56" s="47"/>
      <c r="K56" s="47"/>
      <c r="L56" s="30"/>
      <c r="M56" s="27"/>
      <c r="N56" s="27"/>
      <c r="O56" s="27"/>
      <c r="P56" s="27"/>
      <c r="Q56" s="27"/>
      <c r="R56" s="27"/>
      <c r="S56" s="27"/>
      <c r="T56" s="27"/>
      <c r="U56" s="30"/>
      <c r="V56" s="5"/>
      <c r="W56" s="5"/>
      <c r="X56" s="30"/>
    </row>
    <row r="57" spans="1:35" s="28" customFormat="1" ht="13.8" x14ac:dyDescent="0.3">
      <c r="A57" s="58"/>
      <c r="B57" s="59"/>
      <c r="C57" s="60"/>
      <c r="D57" s="58"/>
      <c r="E57" s="58"/>
      <c r="F57" s="58"/>
      <c r="G57" s="60"/>
      <c r="H57" s="58"/>
      <c r="I57" s="58"/>
      <c r="J57" s="58"/>
      <c r="K57" s="58"/>
      <c r="L57" s="30"/>
      <c r="M57" s="27"/>
      <c r="N57" s="27"/>
      <c r="O57" s="27"/>
      <c r="P57" s="27"/>
      <c r="Q57" s="27"/>
      <c r="R57" s="27"/>
      <c r="S57" s="27"/>
      <c r="T57" s="27"/>
      <c r="U57" s="30"/>
      <c r="V57" s="30"/>
      <c r="W57" s="30"/>
      <c r="X57" s="30"/>
    </row>
    <row r="58" spans="1:35" s="28" customFormat="1" ht="13.8" x14ac:dyDescent="0.3">
      <c r="A58" s="58"/>
      <c r="B58" s="61"/>
      <c r="C58" s="60"/>
      <c r="D58" s="62"/>
      <c r="E58" s="62"/>
      <c r="F58" s="63" t="s">
        <v>35</v>
      </c>
      <c r="G58" s="60"/>
      <c r="H58" s="62"/>
      <c r="I58" s="62"/>
      <c r="J58" s="62"/>
      <c r="K58" s="58"/>
      <c r="L58" s="30"/>
      <c r="M58" s="27"/>
      <c r="N58" s="27"/>
      <c r="O58" s="27"/>
      <c r="P58" s="27"/>
      <c r="Q58" s="27"/>
      <c r="R58" s="27"/>
      <c r="S58" s="27"/>
      <c r="T58" s="27"/>
      <c r="U58" s="30"/>
      <c r="V58" s="30"/>
      <c r="W58" s="30"/>
      <c r="X58" s="30"/>
    </row>
    <row r="59" spans="1:35" s="28" customFormat="1" ht="13.8" x14ac:dyDescent="0.3">
      <c r="A59" s="58"/>
      <c r="B59" s="62"/>
      <c r="C59" s="62"/>
      <c r="D59" s="62"/>
      <c r="E59" s="62"/>
      <c r="F59" s="149" t="s">
        <v>118</v>
      </c>
      <c r="G59" s="62"/>
      <c r="H59" s="62"/>
      <c r="I59" s="62"/>
      <c r="J59" s="62"/>
      <c r="K59" s="58"/>
      <c r="L59" s="30"/>
      <c r="M59" s="27"/>
      <c r="N59" s="27"/>
      <c r="O59" s="27"/>
      <c r="P59" s="27"/>
      <c r="Q59" s="27"/>
      <c r="R59" s="27"/>
      <c r="S59" s="27"/>
      <c r="T59" s="27"/>
      <c r="U59" s="30"/>
      <c r="V59" s="30"/>
      <c r="W59" s="30"/>
      <c r="X59" s="30"/>
    </row>
    <row r="60" spans="1:35" s="5" customFormat="1" ht="13.8" x14ac:dyDescent="0.3">
      <c r="A60" s="14"/>
      <c r="E60" s="7" t="s">
        <v>1</v>
      </c>
      <c r="F60" s="8" t="str">
        <f>$C$1</f>
        <v>R. Abbott</v>
      </c>
      <c r="H60" s="15"/>
      <c r="I60" s="7" t="s">
        <v>8</v>
      </c>
      <c r="J60" s="16" t="str">
        <f>$G$2</f>
        <v>AA-SM-515</v>
      </c>
      <c r="K60" s="17"/>
      <c r="L60" s="18"/>
      <c r="M60" s="9"/>
      <c r="N60" s="9"/>
      <c r="O60" s="9"/>
      <c r="P60" s="9"/>
      <c r="Q60" s="11"/>
      <c r="R60" s="12"/>
      <c r="S60" s="36"/>
      <c r="T60" s="35"/>
    </row>
    <row r="61" spans="1:35" s="5" customFormat="1" ht="13.8" x14ac:dyDescent="0.3">
      <c r="E61" s="7" t="s">
        <v>2</v>
      </c>
      <c r="F61" s="15" t="str">
        <f>$C$2</f>
        <v xml:space="preserve"> </v>
      </c>
      <c r="H61" s="15"/>
      <c r="I61" s="7" t="s">
        <v>9</v>
      </c>
      <c r="J61" s="17" t="str">
        <f>$G$3</f>
        <v>IR</v>
      </c>
      <c r="K61" s="17"/>
      <c r="L61" s="18"/>
      <c r="M61" s="9">
        <v>1</v>
      </c>
      <c r="N61" s="9"/>
      <c r="O61" s="9"/>
      <c r="P61" s="9"/>
      <c r="Q61" s="11"/>
      <c r="R61" s="12"/>
      <c r="S61" s="36"/>
      <c r="T61" s="35"/>
    </row>
    <row r="62" spans="1:35" s="5" customFormat="1" ht="13.8" x14ac:dyDescent="0.3">
      <c r="E62" s="7" t="s">
        <v>3</v>
      </c>
      <c r="F62" s="15" t="str">
        <f>$C$3</f>
        <v>20/10/2013</v>
      </c>
      <c r="H62" s="15"/>
      <c r="I62" s="7" t="s">
        <v>6</v>
      </c>
      <c r="J62" s="8" t="str">
        <f>L62&amp;" of "&amp;$G$1</f>
        <v>2 of 6</v>
      </c>
      <c r="K62" s="15"/>
      <c r="L62" s="18">
        <f>SUM($M$1:M61)</f>
        <v>2</v>
      </c>
      <c r="M62" s="9"/>
      <c r="N62" s="9"/>
      <c r="O62" s="9"/>
      <c r="P62" s="9"/>
      <c r="Q62" s="11"/>
      <c r="R62" s="12"/>
      <c r="S62" s="36"/>
      <c r="T62" s="35"/>
    </row>
    <row r="63" spans="1:35" s="5" customFormat="1" ht="13.8" x14ac:dyDescent="0.3">
      <c r="A63" s="26"/>
      <c r="B63" s="26"/>
      <c r="C63" s="26"/>
      <c r="D63" s="26"/>
      <c r="E63" s="7" t="s">
        <v>30</v>
      </c>
      <c r="F63" s="15" t="str">
        <f>$C$5</f>
        <v>STANDARD SPREADSHEET METHOD</v>
      </c>
      <c r="I63" s="19"/>
      <c r="J63" s="8"/>
      <c r="M63" s="9"/>
      <c r="N63" s="9"/>
      <c r="O63" s="9"/>
      <c r="P63" s="9"/>
      <c r="Q63" s="9"/>
      <c r="R63" s="9"/>
      <c r="S63" s="34"/>
      <c r="T63" s="35"/>
    </row>
    <row r="64" spans="1:35" s="28" customFormat="1" x14ac:dyDescent="0.3">
      <c r="A64" s="73"/>
      <c r="B64" s="21" t="str">
        <f>$G$4</f>
        <v>SIMPLIFIED PART 23 AIRCRAFT LOADS</v>
      </c>
      <c r="C64" s="74"/>
      <c r="D64" s="74"/>
      <c r="E64" s="75"/>
      <c r="F64" s="74"/>
      <c r="G64" s="74"/>
      <c r="H64" s="74"/>
      <c r="I64" s="74"/>
      <c r="J64" s="74"/>
      <c r="K64" s="74"/>
      <c r="L64" s="30"/>
      <c r="M64" s="37"/>
      <c r="N64" s="38"/>
      <c r="O64" s="38"/>
      <c r="P64" s="38"/>
      <c r="Q64" s="38"/>
      <c r="R64" s="37"/>
      <c r="S64" s="37"/>
      <c r="T64" s="39"/>
    </row>
    <row r="65" spans="1:35" s="26" customFormat="1" ht="13.8" x14ac:dyDescent="0.3">
      <c r="A65" s="76"/>
      <c r="B65" s="76" t="s">
        <v>50</v>
      </c>
      <c r="C65" s="76"/>
      <c r="D65" s="76"/>
      <c r="E65" s="76"/>
      <c r="F65" s="76"/>
      <c r="G65" s="76"/>
      <c r="H65" s="76"/>
      <c r="I65" s="76"/>
      <c r="J65" s="76"/>
      <c r="K65" s="76"/>
      <c r="L65" s="29"/>
      <c r="M65" s="27"/>
      <c r="N65" s="27"/>
      <c r="O65" s="27"/>
      <c r="P65" s="27"/>
      <c r="Q65" s="27"/>
      <c r="R65" s="27"/>
      <c r="S65" s="27"/>
      <c r="T65" s="27"/>
    </row>
    <row r="66" spans="1:35" s="26" customFormat="1" ht="13.8" x14ac:dyDescent="0.3">
      <c r="A66" s="76"/>
      <c r="B66" s="117" t="s">
        <v>82</v>
      </c>
      <c r="C66" s="76"/>
      <c r="D66" s="79"/>
      <c r="E66" s="76"/>
      <c r="F66" s="76"/>
      <c r="G66" s="80"/>
      <c r="H66" s="76"/>
      <c r="I66" s="76"/>
      <c r="J66" s="76"/>
      <c r="K66" s="76"/>
      <c r="M66" s="27"/>
      <c r="N66" s="27"/>
      <c r="O66" s="27"/>
      <c r="P66" s="27"/>
      <c r="Q66" s="27"/>
      <c r="R66" s="27"/>
      <c r="S66" s="27"/>
      <c r="T66" s="27"/>
    </row>
    <row r="67" spans="1:35" s="26" customFormat="1" ht="13.8" x14ac:dyDescent="0.3">
      <c r="A67" s="76"/>
      <c r="C67" s="76"/>
      <c r="D67" s="79"/>
      <c r="E67" s="76"/>
      <c r="F67" s="76"/>
      <c r="G67" s="76"/>
      <c r="H67" s="76"/>
      <c r="I67" s="76"/>
      <c r="J67" s="76"/>
      <c r="K67" s="76"/>
      <c r="M67" s="27"/>
      <c r="N67" s="27"/>
      <c r="O67" s="27"/>
      <c r="P67" s="27"/>
      <c r="Q67" s="27"/>
      <c r="R67" s="27"/>
      <c r="S67" s="27"/>
      <c r="T67" s="27"/>
      <c r="V67" s="40"/>
      <c r="W67" s="40"/>
      <c r="Y67" s="5"/>
      <c r="Z67" s="5"/>
      <c r="AA67" s="5"/>
      <c r="AB67" s="5"/>
      <c r="AC67" s="7"/>
      <c r="AD67" s="5"/>
      <c r="AE67" s="5"/>
      <c r="AF67" s="5"/>
      <c r="AG67" s="5"/>
      <c r="AH67" s="5"/>
      <c r="AI67" s="5"/>
    </row>
    <row r="68" spans="1:35" s="28" customFormat="1" ht="13.5" customHeight="1" x14ac:dyDescent="0.3">
      <c r="A68" s="76"/>
      <c r="B68" s="76"/>
      <c r="C68" s="76"/>
      <c r="D68" s="79"/>
      <c r="E68" s="76"/>
      <c r="F68" s="76"/>
      <c r="G68" s="76"/>
      <c r="H68" s="76"/>
      <c r="I68" s="76"/>
      <c r="J68" s="76"/>
      <c r="K68" s="76"/>
      <c r="L68" s="30"/>
      <c r="M68" s="27"/>
      <c r="N68" s="27"/>
      <c r="O68" s="27"/>
      <c r="P68" s="27"/>
      <c r="Q68" s="27"/>
      <c r="R68" s="27"/>
      <c r="S68" s="27"/>
      <c r="T68" s="27"/>
      <c r="U68" s="30"/>
      <c r="V68" s="40"/>
      <c r="W68" s="40"/>
      <c r="X68" s="30"/>
      <c r="Y68" s="5"/>
      <c r="Z68" s="18"/>
      <c r="AA68" s="46"/>
      <c r="AB68" s="46"/>
      <c r="AC68" s="5"/>
      <c r="AD68" s="5"/>
      <c r="AE68" s="5"/>
      <c r="AF68" s="5"/>
      <c r="AG68" s="5"/>
      <c r="AH68" s="5"/>
      <c r="AI68" s="5"/>
    </row>
    <row r="69" spans="1:35" s="28" customFormat="1" ht="13.8" x14ac:dyDescent="0.3">
      <c r="A69" s="80"/>
      <c r="B69" s="28" t="s">
        <v>89</v>
      </c>
      <c r="E69" s="83" t="s">
        <v>83</v>
      </c>
      <c r="F69" s="118">
        <f>J46</f>
        <v>1.3553216371475063</v>
      </c>
      <c r="G69" s="80"/>
      <c r="H69" s="80"/>
      <c r="I69" s="80"/>
      <c r="J69" s="80"/>
      <c r="K69" s="80"/>
      <c r="L69" s="30"/>
      <c r="M69" s="27"/>
      <c r="N69" s="27"/>
      <c r="O69" s="27"/>
      <c r="P69" s="27"/>
      <c r="Q69" s="27"/>
      <c r="R69" s="27"/>
      <c r="S69" s="27"/>
      <c r="T69" s="27"/>
      <c r="U69" s="30"/>
      <c r="V69" s="40"/>
      <c r="W69" s="40"/>
      <c r="X69" s="30"/>
      <c r="Y69" s="5"/>
      <c r="Z69" s="46"/>
      <c r="AA69" s="29"/>
      <c r="AB69" s="31"/>
      <c r="AC69" s="5"/>
      <c r="AD69" s="5"/>
      <c r="AE69" s="5"/>
      <c r="AF69" s="5"/>
      <c r="AG69" s="5"/>
      <c r="AH69" s="5"/>
      <c r="AI69" s="5"/>
    </row>
    <row r="70" spans="1:35" s="28" customFormat="1" ht="13.8" x14ac:dyDescent="0.3">
      <c r="A70" s="76"/>
      <c r="B70" s="83" t="s">
        <v>84</v>
      </c>
      <c r="C70" s="28" t="str">
        <f>[1]!xln(C71)</f>
        <v>3.8 × 12.7</v>
      </c>
      <c r="D70" s="80"/>
      <c r="E70" s="76"/>
      <c r="F70" s="76"/>
      <c r="G70" s="76"/>
      <c r="H70" s="76"/>
      <c r="I70" s="76"/>
      <c r="J70" s="76"/>
      <c r="K70" s="76"/>
      <c r="L70" s="30"/>
      <c r="M70" s="27"/>
      <c r="N70" s="27"/>
      <c r="O70" s="27"/>
      <c r="P70" s="27"/>
      <c r="Q70" s="27"/>
      <c r="R70" s="27"/>
      <c r="S70" s="27"/>
      <c r="T70" s="27"/>
      <c r="U70" s="30"/>
      <c r="V70" s="40"/>
      <c r="W70" s="40"/>
      <c r="X70" s="30"/>
      <c r="Y70" s="5"/>
      <c r="Z70" s="46"/>
      <c r="AA70" s="29"/>
      <c r="AB70" s="31"/>
      <c r="AC70" s="47"/>
      <c r="AD70" s="5"/>
      <c r="AE70" s="48"/>
      <c r="AF70" s="47"/>
      <c r="AG70" s="47"/>
      <c r="AH70" s="47"/>
      <c r="AI70" s="5"/>
    </row>
    <row r="71" spans="1:35" s="28" customFormat="1" ht="13.8" x14ac:dyDescent="0.3">
      <c r="A71" s="76"/>
      <c r="B71" s="79" t="s">
        <v>85</v>
      </c>
      <c r="C71" s="99">
        <f>C35*C19</f>
        <v>48.223350253807105</v>
      </c>
      <c r="D71" s="94" t="s">
        <v>109</v>
      </c>
      <c r="E71" s="76"/>
      <c r="F71" s="76"/>
      <c r="G71" s="76"/>
      <c r="H71" s="76"/>
      <c r="I71" s="76"/>
      <c r="J71" s="76"/>
      <c r="K71" s="76"/>
      <c r="L71" s="30"/>
      <c r="M71" s="27"/>
      <c r="N71" s="27"/>
      <c r="O71" s="27"/>
      <c r="P71" s="27"/>
      <c r="Q71" s="27"/>
      <c r="R71" s="27"/>
      <c r="S71" s="27"/>
      <c r="T71" s="27"/>
      <c r="U71" s="30"/>
      <c r="V71" s="40"/>
      <c r="X71" s="124">
        <v>1.5</v>
      </c>
      <c r="Y71" s="125">
        <v>1.4</v>
      </c>
      <c r="Z71" s="126">
        <v>1.3</v>
      </c>
      <c r="AA71" s="127">
        <v>1.2</v>
      </c>
      <c r="AB71" s="127">
        <v>1.1000000000000001</v>
      </c>
      <c r="AC71" s="126">
        <v>1</v>
      </c>
      <c r="AD71" s="47"/>
      <c r="AE71" s="47"/>
      <c r="AF71" s="28">
        <f>INDEX(X71:AC71,AF72)</f>
        <v>1.4</v>
      </c>
      <c r="AG71" s="28">
        <f>INDEX(X71:AC71,AG72)</f>
        <v>1.3</v>
      </c>
      <c r="AH71" s="47"/>
      <c r="AI71" s="23"/>
    </row>
    <row r="72" spans="1:35" s="28" customFormat="1" ht="13.8" x14ac:dyDescent="0.3">
      <c r="A72" s="82"/>
      <c r="B72" s="83"/>
      <c r="C72" s="84"/>
      <c r="D72" s="76"/>
      <c r="E72" s="76"/>
      <c r="F72" s="76"/>
      <c r="G72" s="76"/>
      <c r="H72" s="84"/>
      <c r="I72" s="76"/>
      <c r="J72" s="76"/>
      <c r="K72" s="76"/>
      <c r="L72" s="30"/>
      <c r="M72" s="27"/>
      <c r="N72" s="27"/>
      <c r="O72" s="27"/>
      <c r="P72" s="27"/>
      <c r="Q72" s="27"/>
      <c r="R72" s="27"/>
      <c r="S72" s="27"/>
      <c r="T72" s="27"/>
      <c r="U72" s="30"/>
      <c r="V72" s="40"/>
      <c r="W72" s="40"/>
      <c r="X72" s="30"/>
      <c r="Y72" s="23"/>
      <c r="Z72" s="50"/>
      <c r="AA72" s="29"/>
      <c r="AB72" s="31"/>
      <c r="AC72" s="51"/>
      <c r="AD72" s="51"/>
      <c r="AE72" s="51"/>
      <c r="AF72" s="28">
        <f>MATCH(AF76,X71:AC71,-1)</f>
        <v>2</v>
      </c>
      <c r="AG72" s="47">
        <f>AF72+1</f>
        <v>3</v>
      </c>
      <c r="AH72" s="51"/>
      <c r="AI72" s="23"/>
    </row>
    <row r="73" spans="1:35" s="28" customFormat="1" ht="13.8" x14ac:dyDescent="0.3">
      <c r="A73" s="82"/>
      <c r="B73" s="84" t="s">
        <v>90</v>
      </c>
      <c r="C73" s="82"/>
      <c r="D73" s="79"/>
      <c r="E73" s="76"/>
      <c r="F73" s="85"/>
      <c r="G73" s="76"/>
      <c r="H73" s="85"/>
      <c r="I73" s="80"/>
      <c r="J73" s="80"/>
      <c r="K73" s="76"/>
      <c r="L73" s="30"/>
      <c r="M73" s="27"/>
      <c r="N73" s="27"/>
      <c r="O73" s="27"/>
      <c r="P73" s="27"/>
      <c r="Q73" s="27"/>
      <c r="R73" s="27"/>
      <c r="S73" s="27"/>
      <c r="T73" s="27"/>
      <c r="U73" s="30"/>
      <c r="V73" s="40"/>
      <c r="W73" s="40"/>
      <c r="X73" s="5">
        <v>2.6888999999999998</v>
      </c>
      <c r="Y73" s="5">
        <v>2.5099999999999998</v>
      </c>
      <c r="Z73" s="5">
        <v>2.38</v>
      </c>
      <c r="AA73" s="5">
        <v>2.21</v>
      </c>
      <c r="AB73" s="5">
        <v>2.08</v>
      </c>
      <c r="AC73" s="5">
        <v>1.92</v>
      </c>
      <c r="AD73" s="5"/>
      <c r="AE73" s="5"/>
      <c r="AF73" s="5">
        <f>INDEX(X73:AC73,AF72)</f>
        <v>2.5099999999999998</v>
      </c>
      <c r="AG73" s="5">
        <f>INDEX(X73:AC73,AG72)</f>
        <v>2.38</v>
      </c>
      <c r="AH73" s="5"/>
      <c r="AI73" s="5"/>
    </row>
    <row r="74" spans="1:35" s="28" customFormat="1" ht="13.8" x14ac:dyDescent="0.3">
      <c r="A74" s="82"/>
      <c r="B74" s="83" t="s">
        <v>84</v>
      </c>
      <c r="C74" s="28" t="str">
        <f>[1]!xln(C75)</f>
        <v>3.8 × 8.63</v>
      </c>
      <c r="D74" s="86"/>
      <c r="E74" s="76"/>
      <c r="F74" s="85"/>
      <c r="G74" s="76"/>
      <c r="H74" s="85"/>
      <c r="I74" s="80"/>
      <c r="J74" s="80"/>
      <c r="K74" s="76"/>
      <c r="L74" s="30"/>
      <c r="M74" s="27"/>
      <c r="N74" s="27"/>
      <c r="O74" s="27"/>
      <c r="P74" s="27"/>
      <c r="Q74" s="27"/>
      <c r="R74" s="27"/>
      <c r="S74" s="27"/>
      <c r="T74" s="27"/>
      <c r="U74" s="30"/>
      <c r="V74" s="40"/>
      <c r="W74" s="40"/>
      <c r="X74" s="23">
        <v>-0.21</v>
      </c>
      <c r="Y74" s="23">
        <v>-0.20899999999999999</v>
      </c>
      <c r="Z74" s="23">
        <v>-0.20899999999999999</v>
      </c>
      <c r="AA74" s="23">
        <v>-0.20899999999999999</v>
      </c>
      <c r="AB74" s="23">
        <v>-0.20899999999999999</v>
      </c>
      <c r="AC74" s="23">
        <v>-0.20899999999999999</v>
      </c>
      <c r="AD74" s="5"/>
      <c r="AE74" s="5"/>
      <c r="AF74" s="5">
        <f>INDEX(X74:AC74,AF72)</f>
        <v>-0.20899999999999999</v>
      </c>
      <c r="AG74" s="5">
        <f>INDEX(X74:AC74,AG72)</f>
        <v>-0.20899999999999999</v>
      </c>
      <c r="AH74" s="51"/>
      <c r="AI74" s="5"/>
    </row>
    <row r="75" spans="1:35" s="28" customFormat="1" ht="13.8" x14ac:dyDescent="0.3">
      <c r="A75" s="76"/>
      <c r="B75" s="76"/>
      <c r="C75" s="107">
        <f>C35*C23</f>
        <v>32.791878172588831</v>
      </c>
      <c r="D75" s="94" t="s">
        <v>109</v>
      </c>
      <c r="E75" s="76"/>
      <c r="F75" s="87"/>
      <c r="G75" s="76"/>
      <c r="H75" s="87"/>
      <c r="I75" s="80"/>
      <c r="J75" s="80"/>
      <c r="K75" s="76"/>
      <c r="L75" s="30"/>
      <c r="M75" s="27"/>
      <c r="N75" s="27"/>
      <c r="O75" s="27"/>
      <c r="P75" s="27"/>
      <c r="Q75" s="27"/>
      <c r="R75" s="27"/>
      <c r="S75" s="27"/>
      <c r="T75" s="27"/>
      <c r="U75" s="30"/>
      <c r="V75" s="40"/>
      <c r="W75" s="40"/>
      <c r="X75" s="30"/>
      <c r="Y75" s="5"/>
      <c r="Z75" s="5"/>
      <c r="AA75" s="5"/>
      <c r="AB75" s="5"/>
      <c r="AC75" s="5"/>
      <c r="AD75" s="18"/>
      <c r="AE75" s="18"/>
      <c r="AF75" s="18"/>
      <c r="AG75" s="18"/>
      <c r="AH75" s="51"/>
      <c r="AI75" s="5"/>
    </row>
    <row r="76" spans="1:35" s="28" customFormat="1" ht="13.8" x14ac:dyDescent="0.3">
      <c r="A76" s="82"/>
      <c r="B76" s="76"/>
      <c r="C76" s="86"/>
      <c r="D76" s="87"/>
      <c r="E76" s="76"/>
      <c r="F76" s="87"/>
      <c r="G76" s="76"/>
      <c r="H76" s="87"/>
      <c r="I76" s="80"/>
      <c r="J76" s="80"/>
      <c r="K76" s="76"/>
      <c r="L76" s="30"/>
      <c r="M76" s="27"/>
      <c r="N76" s="27"/>
      <c r="O76" s="27"/>
      <c r="P76" s="27"/>
      <c r="Q76" s="27"/>
      <c r="R76" s="27"/>
      <c r="S76" s="27"/>
      <c r="T76" s="27"/>
      <c r="U76" s="30"/>
      <c r="V76" s="40"/>
      <c r="W76" s="40"/>
      <c r="X76" s="30"/>
      <c r="Y76" s="5"/>
      <c r="Z76" s="5"/>
      <c r="AA76" s="5"/>
      <c r="AB76" s="5"/>
      <c r="AC76" s="5"/>
      <c r="AD76" s="18"/>
      <c r="AE76" s="18"/>
      <c r="AF76" s="49">
        <f>IF(F69&gt;1.5,1.5,F69)</f>
        <v>1.3553216371475063</v>
      </c>
      <c r="AG76" s="18"/>
      <c r="AH76" s="51"/>
      <c r="AI76" s="5"/>
    </row>
    <row r="77" spans="1:35" s="28" customFormat="1" ht="15" x14ac:dyDescent="0.35">
      <c r="A77" s="82"/>
      <c r="B77" s="123" t="s">
        <v>91</v>
      </c>
      <c r="C77" s="86"/>
      <c r="D77" s="87"/>
      <c r="E77" s="76"/>
      <c r="F77" s="87"/>
      <c r="G77" s="76"/>
      <c r="H77" s="87"/>
      <c r="I77" s="80"/>
      <c r="J77" s="80"/>
      <c r="K77" s="76"/>
      <c r="L77" s="30"/>
      <c r="M77" s="27"/>
      <c r="N77" s="27"/>
      <c r="O77" s="27"/>
      <c r="P77" s="27"/>
      <c r="Q77" s="27"/>
      <c r="R77" s="27"/>
      <c r="S77" s="27"/>
      <c r="T77" s="27"/>
      <c r="U77" s="30"/>
      <c r="V77" s="40"/>
      <c r="W77" s="40">
        <v>0</v>
      </c>
      <c r="X77" s="30"/>
      <c r="Y77" s="5"/>
      <c r="Z77" s="5"/>
      <c r="AA77" s="5"/>
      <c r="AB77" s="5"/>
      <c r="AC77" s="5"/>
      <c r="AD77" s="18">
        <v>1</v>
      </c>
      <c r="AE77" s="18"/>
      <c r="AF77" s="18"/>
      <c r="AG77" s="18"/>
      <c r="AH77" s="5"/>
      <c r="AI77" s="5"/>
    </row>
    <row r="78" spans="1:35" s="28" customFormat="1" ht="13.8" x14ac:dyDescent="0.3">
      <c r="A78" s="82"/>
      <c r="B78" s="82"/>
      <c r="C78" s="86"/>
      <c r="D78" s="87"/>
      <c r="E78" s="76"/>
      <c r="F78" s="87"/>
      <c r="G78" s="76"/>
      <c r="H78" s="87"/>
      <c r="I78" s="80"/>
      <c r="J78" s="80"/>
      <c r="K78" s="82"/>
      <c r="L78" s="30"/>
      <c r="M78" s="27"/>
      <c r="N78" s="27"/>
      <c r="O78" s="27"/>
      <c r="P78" s="27"/>
      <c r="Q78" s="27"/>
      <c r="R78" s="27"/>
      <c r="S78" s="27"/>
      <c r="T78" s="27"/>
      <c r="U78" s="30"/>
      <c r="V78" s="40"/>
      <c r="W78" s="40">
        <v>5</v>
      </c>
      <c r="X78" s="120">
        <f xml:space="preserve"> X73*W78^X74</f>
        <v>1.9177454023549534</v>
      </c>
      <c r="Y78" s="120">
        <f xml:space="preserve"> Y73*W78^Y74</f>
        <v>1.7930359227956436</v>
      </c>
      <c r="Z78" s="120">
        <f xml:space="preserve"> Z73*W78^Z74</f>
        <v>1.7001695204197738</v>
      </c>
      <c r="AA78" s="120">
        <f xml:space="preserve"> AA73*W78^AA74</f>
        <v>1.5787288403897899</v>
      </c>
      <c r="AB78" s="120">
        <f xml:space="preserve"> AB73*W78^AB74</f>
        <v>1.48586243801392</v>
      </c>
      <c r="AC78" s="120">
        <f xml:space="preserve"> AC73*W78^AC74</f>
        <v>1.3715653273974644</v>
      </c>
      <c r="AD78" s="18">
        <v>1</v>
      </c>
      <c r="AE78" s="18"/>
      <c r="AF78" s="18"/>
      <c r="AG78" s="18"/>
      <c r="AH78" s="5"/>
      <c r="AI78" s="5"/>
    </row>
    <row r="79" spans="1:35" s="28" customFormat="1" ht="13.8" x14ac:dyDescent="0.3">
      <c r="A79" s="82"/>
      <c r="B79" s="82"/>
      <c r="C79" s="86"/>
      <c r="D79" s="87"/>
      <c r="E79" s="76"/>
      <c r="F79" s="87"/>
      <c r="G79" s="76"/>
      <c r="H79" s="87"/>
      <c r="I79" s="80"/>
      <c r="J79" s="80"/>
      <c r="K79" s="82"/>
      <c r="L79" s="30"/>
      <c r="M79" s="27"/>
      <c r="N79" s="27"/>
      <c r="O79" s="27"/>
      <c r="P79" s="27"/>
      <c r="Q79" s="27"/>
      <c r="R79" s="27"/>
      <c r="S79" s="27"/>
      <c r="T79" s="27"/>
      <c r="U79" s="30"/>
      <c r="V79" s="40"/>
      <c r="W79" s="40">
        <v>7</v>
      </c>
      <c r="X79" s="120">
        <f xml:space="preserve"> X73*W79^X74</f>
        <v>1.7869156923480813</v>
      </c>
      <c r="Y79" s="120">
        <f xml:space="preserve"> Y73*W79^Y74</f>
        <v>1.6712762096790972</v>
      </c>
      <c r="Z79" s="120">
        <f xml:space="preserve"> Z73*W79^Z74</f>
        <v>1.5847160872654389</v>
      </c>
      <c r="AA79" s="120">
        <f xml:space="preserve"> AA73*W79^AA74</f>
        <v>1.4715220810321934</v>
      </c>
      <c r="AB79" s="120">
        <f xml:space="preserve"> AB73*W79^AB74</f>
        <v>1.3849619586185349</v>
      </c>
      <c r="AC79" s="120">
        <f xml:space="preserve"> AC73*W79^AC74</f>
        <v>1.2784264233401861</v>
      </c>
      <c r="AD79" s="18">
        <v>1</v>
      </c>
      <c r="AE79" s="40">
        <f>C71</f>
        <v>48.223350253807105</v>
      </c>
      <c r="AF79" s="120">
        <f xml:space="preserve"> AF73*AE79^AF74</f>
        <v>1.1165365111918288</v>
      </c>
      <c r="AG79" s="120">
        <f xml:space="preserve"> AG73*AE79^AG74</f>
        <v>1.0587079269468338</v>
      </c>
      <c r="AH79" s="5"/>
      <c r="AI79" s="5"/>
    </row>
    <row r="80" spans="1:35" s="28" customFormat="1" ht="13.8" x14ac:dyDescent="0.3">
      <c r="A80" s="76"/>
      <c r="B80" s="76"/>
      <c r="C80" s="76"/>
      <c r="D80" s="76"/>
      <c r="E80" s="76"/>
      <c r="F80" s="76"/>
      <c r="G80" s="76"/>
      <c r="H80" s="76"/>
      <c r="I80" s="76"/>
      <c r="J80" s="76"/>
      <c r="K80" s="76"/>
      <c r="L80" s="30"/>
      <c r="M80" s="27"/>
      <c r="N80" s="27"/>
      <c r="O80" s="27"/>
      <c r="P80" s="27"/>
      <c r="Q80" s="27"/>
      <c r="R80" s="27"/>
      <c r="S80" s="27"/>
      <c r="T80" s="27"/>
      <c r="U80" s="30"/>
      <c r="V80" s="40"/>
      <c r="W80" s="40">
        <v>9</v>
      </c>
      <c r="X80" s="120">
        <f xml:space="preserve"> X73*W80^X74</f>
        <v>1.6950547256132058</v>
      </c>
      <c r="Y80" s="120">
        <f xml:space="preserve"> Y73*W80^Y74</f>
        <v>1.5857584599172345</v>
      </c>
      <c r="Z80" s="120">
        <f xml:space="preserve"> Z73*W80^Z74</f>
        <v>1.5036275436665412</v>
      </c>
      <c r="AA80" s="120">
        <f xml:space="preserve"> AA73*W80^AA74</f>
        <v>1.3962255762617883</v>
      </c>
      <c r="AB80" s="120">
        <f xml:space="preserve"> AB73*W80^AB74</f>
        <v>1.314094660011095</v>
      </c>
      <c r="AC80" s="120">
        <f xml:space="preserve"> AC73*W80^AC74</f>
        <v>1.2130104553948566</v>
      </c>
      <c r="AD80" s="18">
        <v>1</v>
      </c>
      <c r="AE80" s="51"/>
      <c r="AF80" s="54">
        <f>(AF79-AG79)/(AF71-AG71)*(AF76-AG71)+AG79</f>
        <v>1.09069964649039</v>
      </c>
      <c r="AG80" s="51"/>
      <c r="AH80" s="51"/>
      <c r="AI80" s="23"/>
    </row>
    <row r="81" spans="1:35" s="28" customFormat="1" ht="13.8" x14ac:dyDescent="0.3">
      <c r="A81" s="76"/>
      <c r="B81" s="76"/>
      <c r="C81" s="76"/>
      <c r="D81" s="76"/>
      <c r="E81" s="76"/>
      <c r="F81" s="76"/>
      <c r="G81" s="76"/>
      <c r="H81" s="76"/>
      <c r="I81" s="76"/>
      <c r="J81" s="76"/>
      <c r="K81" s="76"/>
      <c r="L81" s="30"/>
      <c r="M81" s="27"/>
      <c r="N81" s="27"/>
      <c r="O81" s="27"/>
      <c r="P81" s="27"/>
      <c r="Q81" s="27"/>
      <c r="R81" s="27"/>
      <c r="S81" s="27"/>
      <c r="T81" s="27"/>
      <c r="U81" s="30"/>
      <c r="V81" s="40"/>
      <c r="W81" s="40">
        <v>11</v>
      </c>
      <c r="X81" s="120">
        <f xml:space="preserve"> X73*W81^X74</f>
        <v>1.6251078466709674</v>
      </c>
      <c r="Y81" s="120">
        <f xml:space="preserve"> Y73*W81^Y74</f>
        <v>1.5206268347464533</v>
      </c>
      <c r="Z81" s="120">
        <f xml:space="preserve"> Z73*W81^Z74</f>
        <v>1.4418692696002227</v>
      </c>
      <c r="AA81" s="120">
        <f xml:space="preserve"> AA73*W81^AA74</f>
        <v>1.3388786074859211</v>
      </c>
      <c r="AB81" s="120">
        <f xml:space="preserve"> AB73*W81^AB74</f>
        <v>1.2601210423396905</v>
      </c>
      <c r="AC81" s="120">
        <f xml:space="preserve"> AC73*W81^AC74</f>
        <v>1.1631886544674066</v>
      </c>
      <c r="AD81" s="18">
        <v>1</v>
      </c>
      <c r="AE81" s="45"/>
      <c r="AF81" s="45"/>
      <c r="AG81" s="45"/>
      <c r="AH81" s="45"/>
      <c r="AI81" s="44"/>
    </row>
    <row r="82" spans="1:35" s="28" customFormat="1" ht="13.8" x14ac:dyDescent="0.3">
      <c r="A82" s="83"/>
      <c r="B82" s="80"/>
      <c r="C82" s="80"/>
      <c r="D82" s="88"/>
      <c r="E82" s="76"/>
      <c r="F82" s="76"/>
      <c r="G82" s="76"/>
      <c r="H82" s="76"/>
      <c r="I82" s="76"/>
      <c r="J82" s="76"/>
      <c r="K82" s="76"/>
      <c r="L82" s="30"/>
      <c r="M82" s="27"/>
      <c r="N82" s="27"/>
      <c r="O82" s="27"/>
      <c r="P82" s="27"/>
      <c r="Q82" s="27"/>
      <c r="R82" s="27"/>
      <c r="S82" s="27"/>
      <c r="T82" s="27"/>
      <c r="U82" s="30"/>
      <c r="V82" s="40"/>
      <c r="W82" s="40">
        <v>13</v>
      </c>
      <c r="X82" s="120">
        <f xml:space="preserve"> X73*W82^X74</f>
        <v>1.5690852762615055</v>
      </c>
      <c r="Y82" s="120">
        <f xml:space="preserve"> Y73*W82^Y74</f>
        <v>1.4684513432006499</v>
      </c>
      <c r="Z82" s="120">
        <f xml:space="preserve"> Z73*W82^Z74</f>
        <v>1.3923960943496203</v>
      </c>
      <c r="AA82" s="120">
        <f xml:space="preserve"> AA73*W82^AA74</f>
        <v>1.2929392304675045</v>
      </c>
      <c r="AB82" s="120">
        <f xml:space="preserve"> AB73*W82^AB74</f>
        <v>1.2168839816164749</v>
      </c>
      <c r="AC82" s="120">
        <f xml:space="preserve"> AC73*W82^AC74</f>
        <v>1.1232775214921307</v>
      </c>
      <c r="AD82" s="18">
        <v>1</v>
      </c>
      <c r="AE82" s="45"/>
      <c r="AF82" s="45"/>
      <c r="AG82" s="45"/>
      <c r="AH82" s="45"/>
      <c r="AI82" s="44"/>
    </row>
    <row r="83" spans="1:35" s="28" customFormat="1" ht="13.8" x14ac:dyDescent="0.3">
      <c r="A83" s="79"/>
      <c r="B83" s="89"/>
      <c r="C83" s="90"/>
      <c r="D83" s="91"/>
      <c r="E83" s="76"/>
      <c r="F83" s="79"/>
      <c r="G83" s="81"/>
      <c r="H83" s="76"/>
      <c r="I83" s="80"/>
      <c r="J83" s="76"/>
      <c r="K83" s="76"/>
      <c r="L83" s="30"/>
      <c r="M83" s="27"/>
      <c r="N83" s="27"/>
      <c r="O83" s="27"/>
      <c r="P83" s="27"/>
      <c r="Q83" s="27"/>
      <c r="R83" s="27"/>
      <c r="S83" s="27"/>
      <c r="T83" s="27"/>
      <c r="U83" s="30"/>
      <c r="V83" s="40"/>
      <c r="W83" s="40">
        <v>15</v>
      </c>
      <c r="X83" s="120">
        <f xml:space="preserve"> X73*W83^X74</f>
        <v>1.5226338720264994</v>
      </c>
      <c r="Y83" s="120">
        <f xml:space="preserve"> Y73*W83^Y74</f>
        <v>1.4251830492904716</v>
      </c>
      <c r="Z83" s="120">
        <f xml:space="preserve"> Z73*W83^Z74</f>
        <v>1.3513687877734353</v>
      </c>
      <c r="AA83" s="120">
        <f xml:space="preserve"> AA73*W83^AA74</f>
        <v>1.2548424457896183</v>
      </c>
      <c r="AB83" s="120">
        <f xml:space="preserve"> AB73*W83^AB74</f>
        <v>1.181028184272582</v>
      </c>
      <c r="AC83" s="120">
        <f xml:space="preserve"> AC73*W83^AC74</f>
        <v>1.0901798624054604</v>
      </c>
      <c r="AD83" s="18">
        <v>1</v>
      </c>
      <c r="AE83" s="45"/>
      <c r="AF83" s="45"/>
      <c r="AG83" s="45"/>
      <c r="AH83" s="45"/>
      <c r="AI83" s="44"/>
    </row>
    <row r="84" spans="1:35" s="28" customFormat="1" ht="13.8" x14ac:dyDescent="0.3">
      <c r="A84" s="83"/>
      <c r="B84" s="80"/>
      <c r="C84" s="80"/>
      <c r="D84" s="91"/>
      <c r="E84" s="76"/>
      <c r="F84" s="79"/>
      <c r="G84" s="76"/>
      <c r="H84" s="76"/>
      <c r="I84" s="80"/>
      <c r="J84" s="84"/>
      <c r="K84" s="84"/>
      <c r="L84" s="30"/>
      <c r="M84" s="27"/>
      <c r="N84" s="27"/>
      <c r="O84" s="27"/>
      <c r="P84" s="27"/>
      <c r="Q84" s="27"/>
      <c r="R84" s="27"/>
      <c r="S84" s="27"/>
      <c r="T84" s="27"/>
      <c r="U84" s="30"/>
      <c r="V84" s="40"/>
      <c r="W84" s="40">
        <v>17</v>
      </c>
      <c r="X84" s="120">
        <f xml:space="preserve"> X73*W84^X74</f>
        <v>1.4831339545270961</v>
      </c>
      <c r="Y84" s="120">
        <f xml:space="preserve"> Y73*W84^Y74</f>
        <v>1.3883849487571391</v>
      </c>
      <c r="Z84" s="120">
        <f xml:space="preserve"> Z73*W84^Z74</f>
        <v>1.3164765649569687</v>
      </c>
      <c r="AA84" s="120">
        <f xml:space="preserve"> AA73*W84^AA74</f>
        <v>1.2224425246028996</v>
      </c>
      <c r="AB84" s="120">
        <f xml:space="preserve"> AB73*W84^AB74</f>
        <v>1.150534140802729</v>
      </c>
      <c r="AC84" s="120">
        <f xml:space="preserve"> AC73*W84^AC74</f>
        <v>1.0620315145871344</v>
      </c>
      <c r="AD84" s="18">
        <v>1</v>
      </c>
      <c r="AE84" s="45"/>
      <c r="AF84" s="45"/>
      <c r="AG84" s="45"/>
      <c r="AH84" s="45"/>
      <c r="AI84" s="44"/>
    </row>
    <row r="85" spans="1:35" s="28" customFormat="1" ht="13.8" x14ac:dyDescent="0.3">
      <c r="A85" s="83"/>
      <c r="B85" s="92"/>
      <c r="C85" s="76"/>
      <c r="D85" s="76"/>
      <c r="E85" s="76"/>
      <c r="F85" s="83"/>
      <c r="G85" s="84"/>
      <c r="H85" s="76"/>
      <c r="I85" s="80"/>
      <c r="J85" s="84"/>
      <c r="K85" s="84"/>
      <c r="L85" s="30"/>
      <c r="M85" s="27"/>
      <c r="N85" s="27"/>
      <c r="O85" s="27"/>
      <c r="P85" s="27"/>
      <c r="Q85" s="27"/>
      <c r="R85" s="27"/>
      <c r="S85" s="27"/>
      <c r="T85" s="27"/>
      <c r="U85" s="30"/>
      <c r="V85" s="40"/>
      <c r="W85" s="40">
        <v>21</v>
      </c>
      <c r="X85" s="120">
        <f xml:space="preserve"> X73*W85^X74</f>
        <v>1.41875890109488</v>
      </c>
      <c r="Y85" s="120">
        <f xml:space="preserve"> Y73*W85^Y74</f>
        <v>1.328403125913582</v>
      </c>
      <c r="Z85" s="120">
        <f xml:space="preserve"> Z73*W85^Z74</f>
        <v>1.2596013703881774</v>
      </c>
      <c r="AA85" s="120">
        <f xml:space="preserve"> AA73*W85^AA74</f>
        <v>1.1696298439318791</v>
      </c>
      <c r="AB85" s="120">
        <f xml:space="preserve"> AB73*W85^AB74</f>
        <v>1.1008280884064745</v>
      </c>
      <c r="AC85" s="120">
        <f xml:space="preserve"> AC73*W85^AC74</f>
        <v>1.0161490046828994</v>
      </c>
      <c r="AD85" s="18">
        <v>1</v>
      </c>
      <c r="AE85" s="40">
        <f>C75</f>
        <v>32.791878172588831</v>
      </c>
      <c r="AF85" s="120">
        <f xml:space="preserve"> AF73*AE85^AF74</f>
        <v>1.2102596843212126</v>
      </c>
      <c r="AG85" s="120">
        <f xml:space="preserve"> AG73*AE85^AG74</f>
        <v>1.1475769118264885</v>
      </c>
      <c r="AH85" s="45"/>
      <c r="AI85" s="44"/>
    </row>
    <row r="86" spans="1:35" s="28" customFormat="1" ht="13.8" x14ac:dyDescent="0.3">
      <c r="A86" s="76"/>
      <c r="B86" s="80"/>
      <c r="C86" s="80"/>
      <c r="D86" s="93"/>
      <c r="E86" s="76"/>
      <c r="F86" s="83"/>
      <c r="G86" s="80"/>
      <c r="H86" s="80"/>
      <c r="I86" s="76"/>
      <c r="J86" s="76"/>
      <c r="K86" s="76"/>
      <c r="L86" s="30"/>
      <c r="M86" s="27"/>
      <c r="N86" s="27"/>
      <c r="O86" s="27"/>
      <c r="P86" s="27"/>
      <c r="Q86" s="27"/>
      <c r="R86" s="27"/>
      <c r="S86" s="27"/>
      <c r="T86" s="27"/>
      <c r="U86" s="30"/>
      <c r="V86" s="40"/>
      <c r="W86" s="40">
        <v>25</v>
      </c>
      <c r="X86" s="120">
        <f xml:space="preserve"> X73*W86^X74</f>
        <v>1.3677516561618366</v>
      </c>
      <c r="Y86" s="120">
        <f xml:space="preserve"> Y73*W86^Y74</f>
        <v>1.2808676575440741</v>
      </c>
      <c r="Z86" s="120">
        <f xml:space="preserve"> Z73*W86^Z74</f>
        <v>1.2145278983884049</v>
      </c>
      <c r="AA86" s="120">
        <f xml:space="preserve"> AA73*W86^AA74</f>
        <v>1.1277759056463761</v>
      </c>
      <c r="AB86" s="120">
        <f xml:space="preserve"> AB73*W86^AB74</f>
        <v>1.0614361464907069</v>
      </c>
      <c r="AC86" s="120">
        <f xml:space="preserve"> AC73*W86^AC74</f>
        <v>0.97978721214526787</v>
      </c>
      <c r="AD86" s="18">
        <v>1</v>
      </c>
      <c r="AE86" s="43"/>
      <c r="AF86" s="54">
        <f>(AF85-AG85)/(AF71-AG71)*(AF76-AG71)+AG85</f>
        <v>1.1822540477800167</v>
      </c>
      <c r="AG86" s="42"/>
      <c r="AH86" s="5"/>
      <c r="AI86" s="5"/>
    </row>
    <row r="87" spans="1:35" s="28" customFormat="1" ht="13.8" x14ac:dyDescent="0.3">
      <c r="A87" s="76"/>
      <c r="B87" s="76"/>
      <c r="C87" s="76"/>
      <c r="D87" s="76"/>
      <c r="E87" s="76"/>
      <c r="F87" s="83"/>
      <c r="G87" s="80"/>
      <c r="H87" s="80"/>
      <c r="I87" s="76"/>
      <c r="J87" s="76"/>
      <c r="K87" s="76"/>
      <c r="L87" s="30"/>
      <c r="M87" s="27"/>
      <c r="N87" s="27"/>
      <c r="O87" s="27"/>
      <c r="P87" s="27"/>
      <c r="Q87" s="27"/>
      <c r="R87" s="27"/>
      <c r="S87" s="27"/>
      <c r="T87" s="27"/>
      <c r="U87" s="30"/>
      <c r="V87" s="40"/>
      <c r="W87" s="40">
        <v>29</v>
      </c>
      <c r="X87" s="120">
        <f xml:space="preserve"> X73*W87^X74</f>
        <v>1.3257788045080106</v>
      </c>
      <c r="Y87" s="120">
        <f xml:space="preserve"> Y73*W87^Y74</f>
        <v>1.2417453430379408</v>
      </c>
      <c r="Z87" s="120">
        <f xml:space="preserve"> Z73*W87^Z74</f>
        <v>1.1774318392152587</v>
      </c>
      <c r="AA87" s="120">
        <f xml:space="preserve"> AA73*W87^AA74</f>
        <v>1.0933295649855974</v>
      </c>
      <c r="AB87" s="120">
        <f xml:space="preserve"> AB73*W87^AB74</f>
        <v>1.0290160611629153</v>
      </c>
      <c r="AC87" s="120">
        <f xml:space="preserve"> AC73*W87^AC74</f>
        <v>0.9498609795349986</v>
      </c>
      <c r="AD87" s="18">
        <v>1</v>
      </c>
      <c r="AE87" s="41"/>
      <c r="AF87" s="41"/>
      <c r="AG87" s="41"/>
      <c r="AH87" s="41"/>
      <c r="AI87" s="41"/>
    </row>
    <row r="88" spans="1:35" s="28" customFormat="1" ht="13.8" x14ac:dyDescent="0.3">
      <c r="A88" s="76"/>
      <c r="B88" s="94"/>
      <c r="C88" s="80"/>
      <c r="D88" s="93"/>
      <c r="E88" s="76"/>
      <c r="F88" s="76"/>
      <c r="G88" s="76"/>
      <c r="H88" s="76"/>
      <c r="I88" s="76"/>
      <c r="J88" s="76"/>
      <c r="K88" s="76"/>
      <c r="L88" s="30"/>
      <c r="M88" s="27"/>
      <c r="N88" s="27"/>
      <c r="O88" s="27"/>
      <c r="P88" s="27"/>
      <c r="Q88" s="27"/>
      <c r="R88" s="27"/>
      <c r="S88" s="27"/>
      <c r="T88" s="27"/>
      <c r="U88" s="30"/>
      <c r="V88" s="40"/>
      <c r="W88" s="40">
        <v>33</v>
      </c>
      <c r="X88" s="120">
        <f xml:space="preserve"> X73*W88^X74</f>
        <v>1.2902881946679121</v>
      </c>
      <c r="Y88" s="120">
        <f xml:space="preserve"> Y73*W88^Y74</f>
        <v>1.2086604410010284</v>
      </c>
      <c r="Z88" s="120">
        <f xml:space="preserve"> Z73*W88^Z74</f>
        <v>1.1460604978416127</v>
      </c>
      <c r="AA88" s="120">
        <f xml:space="preserve"> AA73*W88^AA74</f>
        <v>1.0641990337100689</v>
      </c>
      <c r="AB88" s="120">
        <f xml:space="preserve"> AB73*W88^AB74</f>
        <v>1.0015990905506531</v>
      </c>
      <c r="AC88" s="120">
        <f xml:space="preserve"> AC73*W88^AC74</f>
        <v>0.92455300666214124</v>
      </c>
      <c r="AD88" s="18">
        <v>1</v>
      </c>
      <c r="AE88" s="41"/>
      <c r="AF88" s="49">
        <f>AE79</f>
        <v>48.223350253807105</v>
      </c>
      <c r="AG88" s="49">
        <v>0</v>
      </c>
      <c r="AH88" s="41"/>
      <c r="AI88" s="41"/>
    </row>
    <row r="89" spans="1:35" s="28" customFormat="1" ht="13.8" x14ac:dyDescent="0.3">
      <c r="A89" s="76"/>
      <c r="B89" s="76"/>
      <c r="C89" s="76"/>
      <c r="D89" s="76"/>
      <c r="E89" s="76"/>
      <c r="F89" s="76"/>
      <c r="G89" s="76"/>
      <c r="H89" s="76"/>
      <c r="I89" s="76"/>
      <c r="J89" s="76"/>
      <c r="K89" s="76"/>
      <c r="L89" s="30"/>
      <c r="M89" s="27"/>
      <c r="N89" s="27"/>
      <c r="O89" s="27"/>
      <c r="P89" s="27"/>
      <c r="Q89" s="27"/>
      <c r="R89" s="27"/>
      <c r="S89" s="27"/>
      <c r="T89" s="27"/>
      <c r="U89" s="30"/>
      <c r="V89" s="40"/>
      <c r="W89" s="40">
        <v>37</v>
      </c>
      <c r="X89" s="120">
        <f xml:space="preserve"> X73*W89^X74</f>
        <v>1.2596569555492649</v>
      </c>
      <c r="Y89" s="120">
        <f xml:space="preserve"> Y73*W89^Y74</f>
        <v>1.1801020401013891</v>
      </c>
      <c r="Z89" s="120">
        <f xml:space="preserve"> Z73*W89^Z74</f>
        <v>1.1189812173072933</v>
      </c>
      <c r="AA89" s="120">
        <f xml:space="preserve"> AA73*W89^AA74</f>
        <v>1.0390539874996296</v>
      </c>
      <c r="AB89" s="120">
        <f xml:space="preserve"> AB73*W89^AB74</f>
        <v>0.97793316470553371</v>
      </c>
      <c r="AC89" s="120">
        <f xml:space="preserve"> AC73*W89^AC74</f>
        <v>0.90270753665126191</v>
      </c>
      <c r="AD89" s="18">
        <v>1</v>
      </c>
      <c r="AE89" s="41"/>
      <c r="AF89" s="49">
        <f>AF88</f>
        <v>48.223350253807105</v>
      </c>
      <c r="AG89" s="49">
        <f>AF80</f>
        <v>1.09069964649039</v>
      </c>
      <c r="AH89" s="41"/>
      <c r="AI89" s="41"/>
    </row>
    <row r="90" spans="1:35" s="28" customFormat="1" ht="13.8" x14ac:dyDescent="0.3">
      <c r="A90" s="83"/>
      <c r="B90" s="79"/>
      <c r="C90" s="76"/>
      <c r="D90" s="76"/>
      <c r="E90" s="76"/>
      <c r="F90" s="76"/>
      <c r="G90" s="76"/>
      <c r="H90" s="76"/>
      <c r="I90" s="76"/>
      <c r="J90" s="90"/>
      <c r="K90" s="76"/>
      <c r="L90" s="30"/>
      <c r="M90" s="27"/>
      <c r="N90" s="27"/>
      <c r="O90" s="27"/>
      <c r="P90" s="27"/>
      <c r="Q90" s="27"/>
      <c r="R90" s="27"/>
      <c r="S90" s="27"/>
      <c r="T90" s="27"/>
      <c r="U90" s="30"/>
      <c r="V90" s="40"/>
      <c r="W90" s="40">
        <v>41</v>
      </c>
      <c r="X90" s="120">
        <f xml:space="preserve"> X73*W90^X74</f>
        <v>1.2327926636507454</v>
      </c>
      <c r="Y90" s="120">
        <f xml:space="preserve"> Y73*W90^Y74</f>
        <v>1.1550529547630946</v>
      </c>
      <c r="Z90" s="120">
        <f xml:space="preserve"> Z73*W90^Z74</f>
        <v>1.0952294949546475</v>
      </c>
      <c r="AA90" s="120">
        <f xml:space="preserve"> AA73*W90^AA74</f>
        <v>1.0169988167436013</v>
      </c>
      <c r="AB90" s="120">
        <f xml:space="preserve"> AB73*W90^AB74</f>
        <v>0.9571753569351541</v>
      </c>
      <c r="AC90" s="120">
        <f xml:space="preserve"> AC73*W90^AC74</f>
        <v>0.8835464833247576</v>
      </c>
      <c r="AD90" s="18">
        <v>1</v>
      </c>
      <c r="AE90" s="41"/>
      <c r="AF90" s="49">
        <v>0</v>
      </c>
      <c r="AG90" s="49">
        <f>AG89</f>
        <v>1.09069964649039</v>
      </c>
      <c r="AH90" s="41"/>
      <c r="AI90" s="41"/>
    </row>
    <row r="91" spans="1:35" s="28" customFormat="1" ht="13.8" x14ac:dyDescent="0.3">
      <c r="A91" s="76"/>
      <c r="B91" s="95"/>
      <c r="C91" s="96"/>
      <c r="D91" s="91"/>
      <c r="E91" s="76"/>
      <c r="F91" s="76"/>
      <c r="G91" s="76"/>
      <c r="H91" s="76"/>
      <c r="I91" s="76"/>
      <c r="J91" s="76"/>
      <c r="K91" s="76"/>
      <c r="L91" s="30"/>
      <c r="M91" s="27"/>
      <c r="N91" s="27"/>
      <c r="O91" s="27"/>
      <c r="P91" s="27"/>
      <c r="Q91" s="27"/>
      <c r="R91" s="27"/>
      <c r="S91" s="27"/>
      <c r="T91" s="27"/>
      <c r="U91" s="30"/>
      <c r="V91" s="40"/>
      <c r="W91" s="40">
        <v>45</v>
      </c>
      <c r="X91" s="120">
        <f xml:space="preserve"> X73*W91^X74</f>
        <v>1.2089268499329702</v>
      </c>
      <c r="Y91" s="120">
        <f xml:space="preserve"> Y73*W91^Y74</f>
        <v>1.1327975631508758</v>
      </c>
      <c r="Z91" s="120">
        <f xml:space="preserve"> Z73*W91^Z74</f>
        <v>1.0741267730275237</v>
      </c>
      <c r="AA91" s="120">
        <f xml:space="preserve"> AA73*W91^AA74</f>
        <v>0.99740343209698634</v>
      </c>
      <c r="AB91" s="120">
        <f xml:space="preserve"> AB73*W91^AB74</f>
        <v>0.93873264197363415</v>
      </c>
      <c r="AC91" s="120">
        <f xml:space="preserve"> AC73*W91^AC74</f>
        <v>0.8665224387448931</v>
      </c>
      <c r="AD91" s="18">
        <v>1</v>
      </c>
      <c r="AE91" s="41"/>
      <c r="AF91" s="49"/>
      <c r="AG91" s="49"/>
      <c r="AH91" s="41"/>
      <c r="AI91" s="41"/>
    </row>
    <row r="92" spans="1:35" s="28" customFormat="1" ht="13.8" x14ac:dyDescent="0.3">
      <c r="A92" s="76"/>
      <c r="B92" s="79"/>
      <c r="C92" s="81"/>
      <c r="D92" s="76"/>
      <c r="E92" s="76"/>
      <c r="F92" s="76"/>
      <c r="G92" s="76"/>
      <c r="H92" s="76"/>
      <c r="I92" s="76"/>
      <c r="J92" s="86"/>
      <c r="K92" s="76"/>
      <c r="L92" s="30"/>
      <c r="M92" s="27"/>
      <c r="N92" s="27"/>
      <c r="O92" s="27"/>
      <c r="P92" s="27"/>
      <c r="Q92" s="27"/>
      <c r="R92" s="27"/>
      <c r="S92" s="27"/>
      <c r="T92" s="27"/>
      <c r="U92" s="30"/>
      <c r="V92" s="40"/>
      <c r="W92" s="40">
        <v>49</v>
      </c>
      <c r="X92" s="120">
        <f xml:space="preserve"> X73*W92^X74</f>
        <v>1.1874996063668501</v>
      </c>
      <c r="Y92" s="120">
        <f xml:space="preserve"> Y73*W92^Y74</f>
        <v>1.1128144099758284</v>
      </c>
      <c r="Z92" s="120">
        <f xml:space="preserve"> Z73*W92^Z74</f>
        <v>1.0551786038814628</v>
      </c>
      <c r="AA92" s="120">
        <f xml:space="preserve"> AA73*W92^AA74</f>
        <v>0.97980870360421557</v>
      </c>
      <c r="AB92" s="120">
        <f xml:space="preserve"> AB73*W92^AB74</f>
        <v>0.92217289750984999</v>
      </c>
      <c r="AC92" s="120">
        <f xml:space="preserve"> AC73*W92^AC74</f>
        <v>0.85123652077832301</v>
      </c>
      <c r="AD92" s="18">
        <v>1</v>
      </c>
      <c r="AE92" s="5"/>
      <c r="AF92" s="49">
        <f>AE85</f>
        <v>32.791878172588831</v>
      </c>
      <c r="AG92" s="49">
        <v>0</v>
      </c>
      <c r="AH92" s="5"/>
      <c r="AI92" s="5"/>
    </row>
    <row r="93" spans="1:35" s="28" customFormat="1" ht="13.8" x14ac:dyDescent="0.3">
      <c r="A93" s="83"/>
      <c r="B93" s="92"/>
      <c r="C93" s="76"/>
      <c r="D93" s="76"/>
      <c r="E93" s="76"/>
      <c r="F93" s="83"/>
      <c r="G93" s="92"/>
      <c r="H93" s="76"/>
      <c r="I93" s="76"/>
      <c r="J93" s="76"/>
      <c r="K93" s="76"/>
      <c r="L93" s="30"/>
      <c r="M93" s="27"/>
      <c r="N93" s="27"/>
      <c r="O93" s="27"/>
      <c r="P93" s="27"/>
      <c r="Q93" s="27"/>
      <c r="R93" s="27"/>
      <c r="S93" s="27"/>
      <c r="T93" s="27"/>
      <c r="U93" s="30"/>
      <c r="V93" s="40"/>
      <c r="W93" s="40">
        <v>53</v>
      </c>
      <c r="X93" s="120">
        <f xml:space="preserve"> X73*W93^X74</f>
        <v>1.1680911096525677</v>
      </c>
      <c r="Y93" s="120">
        <f xml:space="preserve"> Y73*W93^Y74</f>
        <v>1.0947124687947876</v>
      </c>
      <c r="Z93" s="120">
        <f xml:space="preserve"> Z73*W93^Z74</f>
        <v>1.0380142134388821</v>
      </c>
      <c r="AA93" s="120">
        <f xml:space="preserve"> AA73*W93^AA74</f>
        <v>0.9638703410503906</v>
      </c>
      <c r="AB93" s="120">
        <f xml:space="preserve"> AB73*W93^AB74</f>
        <v>0.90717208569448538</v>
      </c>
      <c r="AC93" s="120">
        <f xml:space="preserve"> AC73*W93^AC74</f>
        <v>0.83738961756414021</v>
      </c>
      <c r="AD93" s="18">
        <v>1</v>
      </c>
      <c r="AE93" s="5"/>
      <c r="AF93" s="49">
        <f>AF92</f>
        <v>32.791878172588831</v>
      </c>
      <c r="AG93" s="49">
        <f>AF86</f>
        <v>1.1822540477800167</v>
      </c>
      <c r="AH93" s="5"/>
      <c r="AI93" s="51"/>
    </row>
    <row r="94" spans="1:35" s="28" customFormat="1" ht="13.8" x14ac:dyDescent="0.3">
      <c r="A94" s="76"/>
      <c r="B94" s="97"/>
      <c r="C94" s="96"/>
      <c r="D94" s="91"/>
      <c r="E94" s="90"/>
      <c r="F94" s="76"/>
      <c r="G94" s="94"/>
      <c r="H94" s="80"/>
      <c r="I94" s="76"/>
      <c r="J94" s="76"/>
      <c r="K94" s="76"/>
      <c r="L94" s="30"/>
      <c r="M94" s="27"/>
      <c r="N94" s="27"/>
      <c r="O94" s="27"/>
      <c r="P94" s="27"/>
      <c r="Q94" s="27"/>
      <c r="R94" s="27"/>
      <c r="S94" s="27"/>
      <c r="T94" s="27"/>
      <c r="U94" s="30"/>
      <c r="V94" s="40"/>
      <c r="W94" s="40">
        <v>60</v>
      </c>
      <c r="X94" s="120">
        <f xml:space="preserve"> X73*W94^X74</f>
        <v>1.1380540497724598</v>
      </c>
      <c r="Y94" s="120">
        <f xml:space="preserve"> Y73*W94^Y74</f>
        <v>1.066694633435104</v>
      </c>
      <c r="Z94" s="120">
        <f xml:space="preserve"> Z73*W94^Z74</f>
        <v>1.0114475010261146</v>
      </c>
      <c r="AA94" s="120">
        <f xml:space="preserve"> AA73*W94^AA74</f>
        <v>0.93920125095282081</v>
      </c>
      <c r="AB94" s="120">
        <f xml:space="preserve"> AB73*W94^AB74</f>
        <v>0.88395411854383132</v>
      </c>
      <c r="AC94" s="120">
        <f xml:space="preserve"> AC73*W94^AC74</f>
        <v>0.81595764788661351</v>
      </c>
      <c r="AD94" s="18">
        <v>1</v>
      </c>
      <c r="AE94" s="5"/>
      <c r="AF94" s="49">
        <v>0</v>
      </c>
      <c r="AG94" s="49">
        <f>AG93</f>
        <v>1.1822540477800167</v>
      </c>
      <c r="AH94" s="5"/>
      <c r="AI94" s="51"/>
    </row>
    <row r="95" spans="1:35" s="28" customFormat="1" ht="13.8" x14ac:dyDescent="0.3">
      <c r="A95" s="76"/>
      <c r="B95" s="79"/>
      <c r="C95" s="96"/>
      <c r="D95" s="76"/>
      <c r="E95" s="76"/>
      <c r="F95" s="76"/>
      <c r="G95" s="76"/>
      <c r="H95" s="76"/>
      <c r="I95" s="76"/>
      <c r="J95" s="76"/>
      <c r="K95" s="76"/>
      <c r="L95" s="30"/>
      <c r="M95" s="27"/>
      <c r="N95" s="27"/>
      <c r="O95" s="27"/>
      <c r="P95" s="27"/>
      <c r="Q95" s="27"/>
      <c r="R95" s="27"/>
      <c r="S95" s="27"/>
      <c r="T95" s="27"/>
      <c r="U95" s="30"/>
      <c r="V95" s="40"/>
      <c r="W95" s="40">
        <v>67</v>
      </c>
      <c r="X95" s="120">
        <f xml:space="preserve"> X73*W95^X74</f>
        <v>1.111985034970159</v>
      </c>
      <c r="Y95" s="120">
        <f xml:space="preserve"> Y73*W95^Y74</f>
        <v>1.0423752421082668</v>
      </c>
      <c r="Z95" s="120">
        <f xml:space="preserve"> Z73*W95^Z74</f>
        <v>0.98838767976799802</v>
      </c>
      <c r="AA95" s="120">
        <f xml:space="preserve"> AA73*W95^AA74</f>
        <v>0.91778855978456964</v>
      </c>
      <c r="AB95" s="120">
        <f xml:space="preserve"> AB73*W95^AB74</f>
        <v>0.86380099744430083</v>
      </c>
      <c r="AC95" s="120">
        <f xml:space="preserve"> AC73*W95^AC74</f>
        <v>0.79735476687166229</v>
      </c>
      <c r="AD95" s="18">
        <v>1</v>
      </c>
      <c r="AE95" s="5"/>
      <c r="AF95" s="5"/>
      <c r="AG95" s="5"/>
      <c r="AH95" s="5"/>
      <c r="AI95" s="51"/>
    </row>
    <row r="96" spans="1:35" s="28" customFormat="1" ht="13.8" x14ac:dyDescent="0.3">
      <c r="A96" s="83"/>
      <c r="B96" s="79"/>
      <c r="C96" s="98"/>
      <c r="D96" s="76"/>
      <c r="E96" s="76"/>
      <c r="F96" s="83"/>
      <c r="G96" s="92"/>
      <c r="H96" s="76"/>
      <c r="I96" s="76"/>
      <c r="J96" s="76"/>
      <c r="K96" s="76"/>
      <c r="L96" s="30"/>
      <c r="M96" s="27"/>
      <c r="N96" s="27"/>
      <c r="O96" s="27"/>
      <c r="P96" s="27"/>
      <c r="Q96" s="27"/>
      <c r="R96" s="27"/>
      <c r="S96" s="27"/>
      <c r="T96" s="27"/>
      <c r="U96" s="30"/>
      <c r="V96" s="40"/>
      <c r="W96" s="40">
        <v>74</v>
      </c>
      <c r="X96" s="120">
        <f xml:space="preserve"> X73*W96^X74</f>
        <v>1.0890203367482558</v>
      </c>
      <c r="Y96" s="120">
        <f xml:space="preserve"> Y73*W96^Y74</f>
        <v>1.0209495735259089</v>
      </c>
      <c r="Z96" s="120">
        <f xml:space="preserve"> Z73*W96^Z74</f>
        <v>0.96807170716799329</v>
      </c>
      <c r="AA96" s="120">
        <f xml:space="preserve"> AA73*W96^AA74</f>
        <v>0.89892372808456522</v>
      </c>
      <c r="AB96" s="120">
        <f xml:space="preserve"> AB73*W96^AB74</f>
        <v>0.84604586172664964</v>
      </c>
      <c r="AC96" s="120">
        <f xml:space="preserve"> AC73*W96^AC74</f>
        <v>0.78096541082459969</v>
      </c>
      <c r="AD96" s="18">
        <v>1</v>
      </c>
      <c r="AE96" s="5"/>
      <c r="AF96" s="5"/>
      <c r="AG96" s="5"/>
      <c r="AH96" s="5"/>
      <c r="AI96" s="51"/>
    </row>
    <row r="97" spans="1:35" s="28" customFormat="1" ht="13.8" x14ac:dyDescent="0.3">
      <c r="A97" s="76"/>
      <c r="B97" s="28" t="s">
        <v>89</v>
      </c>
      <c r="C97" s="99"/>
      <c r="D97" s="91"/>
      <c r="E97" s="86"/>
      <c r="F97" s="76"/>
      <c r="G97" s="99"/>
      <c r="H97" s="80"/>
      <c r="I97" s="100"/>
      <c r="J97" s="76"/>
      <c r="K97" s="76"/>
      <c r="L97" s="30"/>
      <c r="M97" s="27"/>
      <c r="N97" s="27"/>
      <c r="O97" s="27"/>
      <c r="P97" s="27"/>
      <c r="Q97" s="27"/>
      <c r="R97" s="27"/>
      <c r="S97" s="27"/>
      <c r="T97" s="27"/>
      <c r="U97" s="30"/>
      <c r="V97" s="40"/>
      <c r="W97" s="40">
        <v>85</v>
      </c>
      <c r="X97" s="120">
        <f xml:space="preserve"> X73*W97^X74</f>
        <v>1.0577832282237565</v>
      </c>
      <c r="Y97" s="120">
        <f xml:space="preserve"> Y73*W97^Y74</f>
        <v>0.99180242541447805</v>
      </c>
      <c r="Z97" s="120">
        <f xml:space="preserve"> Z73*W97^Z74</f>
        <v>0.94043417230536175</v>
      </c>
      <c r="AA97" s="120">
        <f xml:space="preserve"> AA73*W97^AA74</f>
        <v>0.8732603028549788</v>
      </c>
      <c r="AB97" s="120">
        <f xml:space="preserve"> AB73*W97^AB74</f>
        <v>0.82189204974586239</v>
      </c>
      <c r="AC97" s="120">
        <f xml:space="preserve"> AC73*W97^AC74</f>
        <v>0.75866958438079601</v>
      </c>
      <c r="AD97" s="18">
        <v>1</v>
      </c>
      <c r="AE97" s="5"/>
      <c r="AF97" s="5"/>
      <c r="AG97" s="5"/>
      <c r="AH97" s="5"/>
      <c r="AI97" s="5"/>
    </row>
    <row r="98" spans="1:35" s="28" customFormat="1" ht="13.8" x14ac:dyDescent="0.3">
      <c r="A98" s="76"/>
      <c r="B98" s="112" t="s">
        <v>92</v>
      </c>
      <c r="C98" s="116">
        <f>AF80</f>
        <v>1.09069964649039</v>
      </c>
      <c r="D98" s="76"/>
      <c r="E98" s="76"/>
      <c r="F98" s="76"/>
      <c r="G98" s="76"/>
      <c r="H98" s="76"/>
      <c r="I98" s="76"/>
      <c r="J98" s="76"/>
      <c r="K98" s="76"/>
      <c r="L98" s="30"/>
      <c r="M98" s="27"/>
      <c r="N98" s="27"/>
      <c r="O98" s="27"/>
      <c r="P98" s="27"/>
      <c r="Q98" s="27"/>
      <c r="R98" s="27"/>
      <c r="S98" s="27"/>
      <c r="T98" s="27"/>
      <c r="U98" s="30"/>
      <c r="V98" s="40"/>
      <c r="W98" s="40">
        <v>95</v>
      </c>
      <c r="X98" s="120">
        <f xml:space="preserve"> X73*W98^X74</f>
        <v>1.0333624923345925</v>
      </c>
      <c r="Y98" s="120">
        <f xml:space="preserve"> Y73*W98^Y74</f>
        <v>0.96901274232772328</v>
      </c>
      <c r="Z98" s="120">
        <f xml:space="preserve"> Z73*W98^Z74</f>
        <v>0.91882483137051052</v>
      </c>
      <c r="AA98" s="120">
        <f xml:space="preserve"> AA73*W98^AA74</f>
        <v>0.85319448627261696</v>
      </c>
      <c r="AB98" s="120">
        <f xml:space="preserve"> AB73*W98^AB74</f>
        <v>0.8030065753154042</v>
      </c>
      <c r="AC98" s="120">
        <f xml:space="preserve"> AC73*W98^AC74</f>
        <v>0.74123683875268076</v>
      </c>
      <c r="AD98" s="18">
        <v>1</v>
      </c>
      <c r="AE98" s="5"/>
      <c r="AF98" s="5"/>
      <c r="AG98" s="5"/>
      <c r="AH98" s="51"/>
      <c r="AI98" s="5"/>
    </row>
    <row r="99" spans="1:35" s="28" customFormat="1" ht="13.8" x14ac:dyDescent="0.3">
      <c r="A99" s="76"/>
      <c r="B99" s="79"/>
      <c r="C99" s="128"/>
      <c r="D99" s="76"/>
      <c r="E99" s="76"/>
      <c r="F99" s="85"/>
      <c r="G99" s="76"/>
      <c r="H99" s="76"/>
      <c r="I99" s="85"/>
      <c r="J99" s="76"/>
      <c r="K99" s="76"/>
      <c r="L99" s="30"/>
      <c r="M99" s="27"/>
      <c r="N99" s="27"/>
      <c r="O99" s="27"/>
      <c r="P99" s="27"/>
      <c r="Q99" s="27"/>
      <c r="R99" s="27"/>
      <c r="S99" s="27"/>
      <c r="T99" s="27"/>
      <c r="U99" s="30"/>
      <c r="V99" s="40"/>
      <c r="W99" s="40">
        <v>105</v>
      </c>
      <c r="X99" s="120">
        <f xml:space="preserve"> X73*W99^X74</f>
        <v>1.0118704152719968</v>
      </c>
      <c r="Y99" s="120">
        <f xml:space="preserve"> Y73*W99^Y74</f>
        <v>0.94895399391118629</v>
      </c>
      <c r="Z99" s="120">
        <f xml:space="preserve"> Z73*W99^Z74</f>
        <v>0.89980498227435191</v>
      </c>
      <c r="AA99" s="120">
        <f xml:space="preserve"> AA73*W99^AA74</f>
        <v>0.83553319782618396</v>
      </c>
      <c r="AB99" s="120">
        <f xml:space="preserve"> AB73*W99^AB74</f>
        <v>0.78638418618934969</v>
      </c>
      <c r="AC99" s="120">
        <f xml:space="preserve"> AC73*W99^AC74</f>
        <v>0.72589309494401499</v>
      </c>
      <c r="AD99" s="18">
        <v>1</v>
      </c>
      <c r="AE99" s="5"/>
      <c r="AF99" s="5"/>
      <c r="AG99" s="5"/>
      <c r="AH99" s="5"/>
      <c r="AI99" s="5"/>
    </row>
    <row r="100" spans="1:35" s="28" customFormat="1" ht="13.8" x14ac:dyDescent="0.3">
      <c r="A100" s="76"/>
      <c r="B100" s="84" t="s">
        <v>90</v>
      </c>
      <c r="C100" s="129"/>
      <c r="D100" s="76"/>
      <c r="E100" s="77"/>
      <c r="F100" s="85"/>
      <c r="G100" s="76"/>
      <c r="H100" s="76"/>
      <c r="I100" s="85"/>
      <c r="J100" s="76"/>
      <c r="K100" s="76"/>
      <c r="L100" s="30"/>
      <c r="M100" s="27"/>
      <c r="N100" s="27"/>
      <c r="O100" s="27"/>
      <c r="P100" s="27"/>
      <c r="Q100" s="27"/>
      <c r="R100" s="27"/>
      <c r="S100" s="27"/>
      <c r="T100" s="27"/>
      <c r="U100" s="30"/>
      <c r="V100" s="40"/>
      <c r="W100" s="40"/>
      <c r="X100" s="30"/>
      <c r="Y100" s="52"/>
      <c r="Z100" s="52"/>
      <c r="AA100" s="52"/>
      <c r="AB100" s="52"/>
      <c r="AC100" s="52"/>
      <c r="AD100" s="5"/>
      <c r="AE100" s="5"/>
      <c r="AF100" s="5"/>
      <c r="AG100" s="5"/>
      <c r="AH100" s="5"/>
      <c r="AI100" s="5"/>
    </row>
    <row r="101" spans="1:35" s="28" customFormat="1" ht="13.8" x14ac:dyDescent="0.3">
      <c r="A101" s="76"/>
      <c r="B101" s="112" t="s">
        <v>92</v>
      </c>
      <c r="C101" s="116">
        <f>AF86</f>
        <v>1.1822540477800167</v>
      </c>
      <c r="D101" s="85"/>
      <c r="E101" s="77"/>
      <c r="F101" s="85"/>
      <c r="G101" s="76"/>
      <c r="H101" s="76"/>
      <c r="I101" s="85"/>
      <c r="J101" s="76"/>
      <c r="K101" s="76"/>
      <c r="L101" s="30"/>
      <c r="M101" s="27"/>
      <c r="N101" s="27"/>
      <c r="O101" s="27"/>
      <c r="P101" s="27"/>
      <c r="Q101" s="27"/>
      <c r="R101" s="27"/>
      <c r="S101" s="27"/>
      <c r="T101" s="27"/>
      <c r="U101" s="30"/>
      <c r="V101" s="40"/>
      <c r="W101" s="40"/>
      <c r="X101" s="30"/>
      <c r="Y101" s="52"/>
      <c r="Z101" s="18"/>
      <c r="AA101" s="41"/>
      <c r="AB101" s="5"/>
      <c r="AC101" s="5"/>
      <c r="AD101" s="5"/>
      <c r="AE101" s="5"/>
      <c r="AF101" s="5"/>
      <c r="AG101" s="5"/>
      <c r="AH101" s="5"/>
      <c r="AI101" s="5"/>
    </row>
    <row r="102" spans="1:35" s="28" customFormat="1" ht="13.8" x14ac:dyDescent="0.3">
      <c r="A102" s="76"/>
      <c r="B102" s="103"/>
      <c r="C102" s="85"/>
      <c r="D102" s="85"/>
      <c r="E102" s="77"/>
      <c r="F102" s="85"/>
      <c r="G102" s="76"/>
      <c r="H102" s="76"/>
      <c r="I102" s="85"/>
      <c r="J102" s="76"/>
      <c r="K102" s="76"/>
      <c r="L102" s="30"/>
      <c r="M102" s="27"/>
      <c r="N102" s="27"/>
      <c r="O102" s="27"/>
      <c r="P102" s="27"/>
      <c r="Q102" s="27"/>
      <c r="R102" s="27"/>
      <c r="S102" s="27"/>
      <c r="T102" s="27"/>
      <c r="U102" s="30"/>
      <c r="V102" s="40"/>
      <c r="W102" s="40"/>
      <c r="X102" s="30"/>
      <c r="Y102" s="18"/>
      <c r="Z102" s="51"/>
      <c r="AA102" s="55"/>
      <c r="AB102" s="51"/>
      <c r="AC102" s="5"/>
      <c r="AD102" s="5"/>
      <c r="AE102" s="5"/>
      <c r="AF102" s="5"/>
      <c r="AG102" s="5"/>
      <c r="AH102" s="5"/>
      <c r="AI102" s="5"/>
    </row>
    <row r="103" spans="1:35" s="28" customFormat="1" ht="13.8" x14ac:dyDescent="0.3">
      <c r="A103" s="76"/>
      <c r="B103" s="85"/>
      <c r="C103" s="85"/>
      <c r="D103" s="77"/>
      <c r="E103" s="85"/>
      <c r="F103" s="76"/>
      <c r="G103" s="76"/>
      <c r="H103" s="85"/>
      <c r="I103" s="76"/>
      <c r="J103" s="76"/>
      <c r="K103" s="76"/>
      <c r="L103" s="30"/>
      <c r="M103" s="27"/>
      <c r="N103" s="27"/>
      <c r="O103" s="27"/>
      <c r="P103" s="27"/>
      <c r="Q103" s="27"/>
      <c r="R103" s="27"/>
      <c r="S103" s="27"/>
      <c r="T103" s="27"/>
      <c r="U103" s="30"/>
      <c r="V103" s="40"/>
      <c r="W103" s="40"/>
      <c r="X103" s="30"/>
      <c r="Y103" s="18"/>
      <c r="Z103" s="5"/>
      <c r="AA103" s="41"/>
      <c r="AB103" s="5"/>
      <c r="AC103" s="5"/>
      <c r="AD103" s="5"/>
      <c r="AE103" s="5"/>
      <c r="AF103" s="5"/>
      <c r="AG103" s="5"/>
      <c r="AH103" s="5"/>
      <c r="AI103" s="5"/>
    </row>
    <row r="104" spans="1:35" s="28" customFormat="1" ht="13.8" x14ac:dyDescent="0.3">
      <c r="A104" s="5"/>
      <c r="B104" s="28" t="s">
        <v>89</v>
      </c>
      <c r="C104" s="99"/>
      <c r="D104" s="91"/>
      <c r="E104" s="46"/>
      <c r="F104" s="46"/>
      <c r="G104" s="5"/>
      <c r="H104" s="46"/>
      <c r="I104" s="46"/>
      <c r="J104" s="5"/>
      <c r="K104" s="5"/>
      <c r="L104" s="30"/>
      <c r="M104" s="27"/>
      <c r="N104" s="27"/>
      <c r="O104" s="27"/>
      <c r="P104" s="27"/>
      <c r="Q104" s="27"/>
      <c r="R104" s="27"/>
      <c r="S104" s="27"/>
      <c r="T104" s="27"/>
      <c r="U104" s="30"/>
      <c r="V104" s="40"/>
      <c r="W104" s="40"/>
      <c r="X104" s="30"/>
      <c r="Y104" s="5"/>
      <c r="Z104" s="5"/>
      <c r="AA104" s="5"/>
      <c r="AB104" s="5"/>
      <c r="AC104" s="5"/>
      <c r="AD104" s="5"/>
      <c r="AE104" s="5"/>
      <c r="AF104" s="5"/>
      <c r="AG104" s="5"/>
      <c r="AH104" s="5"/>
      <c r="AI104" s="5"/>
    </row>
    <row r="105" spans="1:35" s="28" customFormat="1" ht="13.8" x14ac:dyDescent="0.3">
      <c r="A105" s="5"/>
      <c r="B105" s="112" t="s">
        <v>54</v>
      </c>
      <c r="C105" s="116">
        <f>C98*C35</f>
        <v>4.1446586566634815</v>
      </c>
      <c r="D105" s="76"/>
      <c r="E105" s="49"/>
      <c r="F105" s="40"/>
      <c r="G105" s="5"/>
      <c r="H105" s="49"/>
      <c r="I105" s="40"/>
      <c r="J105" s="47"/>
      <c r="K105" s="47"/>
      <c r="L105" s="30"/>
      <c r="M105" s="27"/>
      <c r="N105" s="27"/>
      <c r="O105" s="27"/>
      <c r="P105" s="27"/>
      <c r="Q105" s="27"/>
      <c r="R105" s="27"/>
      <c r="S105" s="27"/>
      <c r="T105" s="27"/>
      <c r="U105" s="30"/>
      <c r="V105" s="40"/>
      <c r="W105" s="40"/>
      <c r="X105" s="30"/>
    </row>
    <row r="106" spans="1:35" s="28" customFormat="1" ht="13.8" x14ac:dyDescent="0.3">
      <c r="A106" s="5"/>
      <c r="B106" s="79"/>
      <c r="C106" s="128"/>
      <c r="D106" s="76"/>
      <c r="E106" s="49"/>
      <c r="F106" s="40"/>
      <c r="G106" s="5"/>
      <c r="H106" s="49"/>
      <c r="I106" s="40"/>
      <c r="J106" s="47"/>
      <c r="K106" s="47"/>
      <c r="L106" s="30"/>
      <c r="M106" s="27"/>
      <c r="N106" s="27"/>
      <c r="O106" s="27"/>
      <c r="P106" s="27"/>
      <c r="Q106" s="27"/>
      <c r="R106" s="27"/>
      <c r="S106" s="27"/>
      <c r="T106" s="27"/>
      <c r="U106" s="30"/>
      <c r="V106" s="40"/>
      <c r="W106" s="40"/>
      <c r="X106" s="30"/>
    </row>
    <row r="107" spans="1:35" s="28" customFormat="1" ht="13.8" x14ac:dyDescent="0.3">
      <c r="A107" s="5"/>
      <c r="B107" s="84" t="s">
        <v>90</v>
      </c>
      <c r="C107" s="129"/>
      <c r="D107" s="76"/>
      <c r="E107" s="49"/>
      <c r="F107" s="40"/>
      <c r="G107" s="5"/>
      <c r="H107" s="49"/>
      <c r="I107" s="40"/>
      <c r="J107" s="47"/>
      <c r="K107" s="47"/>
      <c r="L107" s="30"/>
      <c r="M107" s="27"/>
      <c r="N107" s="27"/>
      <c r="O107" s="27"/>
      <c r="P107" s="27"/>
      <c r="Q107" s="27"/>
      <c r="R107" s="27"/>
      <c r="S107" s="27"/>
      <c r="T107" s="27"/>
      <c r="U107" s="30"/>
      <c r="V107" s="56"/>
      <c r="W107" s="40"/>
      <c r="X107" s="30"/>
    </row>
    <row r="108" spans="1:35" s="28" customFormat="1" ht="13.8" x14ac:dyDescent="0.3">
      <c r="A108" s="5"/>
      <c r="B108" s="112" t="s">
        <v>54</v>
      </c>
      <c r="C108" s="116">
        <f>C101*C35</f>
        <v>4.4925653815640638</v>
      </c>
      <c r="D108" s="85"/>
      <c r="E108" s="49"/>
      <c r="F108" s="40"/>
      <c r="G108" s="5"/>
      <c r="H108" s="49"/>
      <c r="I108" s="40"/>
      <c r="J108" s="47"/>
      <c r="K108" s="47"/>
      <c r="L108" s="30"/>
      <c r="M108" s="27"/>
      <c r="N108" s="27"/>
      <c r="O108" s="27"/>
      <c r="P108" s="27"/>
      <c r="Q108" s="27"/>
      <c r="R108" s="27"/>
      <c r="S108" s="27"/>
      <c r="T108" s="27"/>
      <c r="U108" s="30"/>
      <c r="V108" s="5"/>
      <c r="W108" s="5"/>
      <c r="X108" s="30"/>
    </row>
    <row r="109" spans="1:35" s="28" customFormat="1" ht="13.8" x14ac:dyDescent="0.3">
      <c r="A109" s="58"/>
      <c r="B109" s="59"/>
      <c r="C109" s="60"/>
      <c r="D109" s="58"/>
      <c r="E109" s="58"/>
      <c r="F109" s="58"/>
      <c r="G109" s="60"/>
      <c r="H109" s="58"/>
      <c r="I109" s="58"/>
      <c r="J109" s="58"/>
      <c r="K109" s="58"/>
      <c r="L109" s="30"/>
      <c r="M109" s="27"/>
      <c r="N109" s="27"/>
      <c r="O109" s="27"/>
      <c r="P109" s="27"/>
      <c r="Q109" s="27"/>
      <c r="R109" s="27"/>
      <c r="S109" s="27"/>
      <c r="T109" s="27"/>
      <c r="U109" s="30"/>
      <c r="V109" s="30"/>
      <c r="W109" s="30"/>
      <c r="X109" s="30"/>
    </row>
    <row r="110" spans="1:35" s="28" customFormat="1" ht="13.8" x14ac:dyDescent="0.3">
      <c r="A110" s="58"/>
      <c r="B110" s="61"/>
      <c r="C110" s="60"/>
      <c r="D110" s="62"/>
      <c r="E110" s="62"/>
      <c r="F110" s="63" t="s">
        <v>35</v>
      </c>
      <c r="G110" s="60"/>
      <c r="H110" s="62"/>
      <c r="I110" s="62"/>
      <c r="J110" s="62"/>
      <c r="K110" s="58"/>
      <c r="L110" s="30"/>
      <c r="M110" s="27"/>
      <c r="N110" s="27"/>
      <c r="O110" s="27"/>
      <c r="P110" s="27"/>
      <c r="Q110" s="27"/>
      <c r="R110" s="27"/>
      <c r="S110" s="27"/>
      <c r="T110" s="27"/>
      <c r="U110" s="30"/>
      <c r="V110" s="30"/>
      <c r="W110" s="30"/>
      <c r="X110" s="30"/>
    </row>
    <row r="111" spans="1:35" s="28" customFormat="1" ht="13.8" x14ac:dyDescent="0.3">
      <c r="A111" s="58"/>
      <c r="B111" s="62"/>
      <c r="C111" s="62"/>
      <c r="D111" s="62"/>
      <c r="E111" s="62"/>
      <c r="F111" s="149" t="s">
        <v>118</v>
      </c>
      <c r="G111" s="62"/>
      <c r="H111" s="62"/>
      <c r="I111" s="62"/>
      <c r="J111" s="62"/>
      <c r="K111" s="58"/>
      <c r="L111" s="30"/>
      <c r="M111" s="27"/>
      <c r="N111" s="27"/>
      <c r="O111" s="27"/>
      <c r="P111" s="27"/>
      <c r="Q111" s="27"/>
      <c r="R111" s="27"/>
      <c r="S111" s="27"/>
      <c r="T111" s="27"/>
      <c r="U111" s="30"/>
      <c r="V111" s="30"/>
      <c r="W111" s="30"/>
      <c r="X111" s="30"/>
    </row>
    <row r="112" spans="1:35" s="5" customFormat="1" ht="13.8" x14ac:dyDescent="0.3">
      <c r="A112" s="14"/>
      <c r="E112" s="7" t="s">
        <v>1</v>
      </c>
      <c r="F112" s="8" t="str">
        <f>$C$1</f>
        <v>R. Abbott</v>
      </c>
      <c r="H112" s="15"/>
      <c r="I112" s="7" t="s">
        <v>8</v>
      </c>
      <c r="J112" s="16" t="str">
        <f>$G$2</f>
        <v>AA-SM-515</v>
      </c>
      <c r="K112" s="17"/>
      <c r="L112" s="18"/>
      <c r="M112" s="9"/>
      <c r="N112" s="9"/>
      <c r="O112" s="9"/>
      <c r="P112" s="9"/>
      <c r="Q112" s="11"/>
      <c r="R112" s="12"/>
      <c r="S112" s="36"/>
      <c r="T112" s="35"/>
    </row>
    <row r="113" spans="1:35" s="5" customFormat="1" ht="13.8" x14ac:dyDescent="0.3">
      <c r="E113" s="7" t="s">
        <v>2</v>
      </c>
      <c r="F113" s="15" t="str">
        <f>$C$2</f>
        <v xml:space="preserve"> </v>
      </c>
      <c r="H113" s="15"/>
      <c r="I113" s="7" t="s">
        <v>9</v>
      </c>
      <c r="J113" s="17" t="str">
        <f>$G$3</f>
        <v>IR</v>
      </c>
      <c r="K113" s="17"/>
      <c r="L113" s="18"/>
      <c r="M113" s="9">
        <v>1</v>
      </c>
      <c r="N113" s="9"/>
      <c r="O113" s="9"/>
      <c r="P113" s="9"/>
      <c r="Q113" s="11"/>
      <c r="R113" s="12"/>
      <c r="S113" s="36"/>
      <c r="T113" s="35"/>
    </row>
    <row r="114" spans="1:35" s="5" customFormat="1" ht="13.8" x14ac:dyDescent="0.3">
      <c r="E114" s="7" t="s">
        <v>3</v>
      </c>
      <c r="F114" s="15" t="str">
        <f>$C$3</f>
        <v>20/10/2013</v>
      </c>
      <c r="H114" s="15"/>
      <c r="I114" s="7" t="s">
        <v>6</v>
      </c>
      <c r="J114" s="8" t="str">
        <f>L114&amp;" of "&amp;$G$1</f>
        <v>3 of 6</v>
      </c>
      <c r="K114" s="15"/>
      <c r="L114" s="18">
        <f>SUM($M$1:M113)</f>
        <v>3</v>
      </c>
      <c r="M114" s="9"/>
      <c r="N114" s="9"/>
      <c r="O114" s="9"/>
      <c r="P114" s="9"/>
      <c r="Q114" s="11"/>
      <c r="R114" s="12"/>
      <c r="S114" s="36"/>
      <c r="T114" s="35"/>
    </row>
    <row r="115" spans="1:35" s="5" customFormat="1" ht="13.8" x14ac:dyDescent="0.3">
      <c r="A115" s="26"/>
      <c r="B115" s="26"/>
      <c r="C115" s="26"/>
      <c r="D115" s="26"/>
      <c r="E115" s="7" t="s">
        <v>30</v>
      </c>
      <c r="F115" s="15" t="str">
        <f>$C$5</f>
        <v>STANDARD SPREADSHEET METHOD</v>
      </c>
      <c r="I115" s="19"/>
      <c r="J115" s="8"/>
      <c r="M115" s="9"/>
      <c r="N115" s="9"/>
      <c r="O115" s="9"/>
      <c r="P115" s="9"/>
      <c r="Q115" s="9"/>
      <c r="R115" s="9"/>
      <c r="S115" s="34"/>
      <c r="T115" s="35"/>
    </row>
    <row r="116" spans="1:35" s="28" customFormat="1" x14ac:dyDescent="0.3">
      <c r="A116" s="73"/>
      <c r="B116" s="21" t="str">
        <f>$G$4</f>
        <v>SIMPLIFIED PART 23 AIRCRAFT LOADS</v>
      </c>
      <c r="C116" s="74"/>
      <c r="D116" s="74"/>
      <c r="E116" s="75"/>
      <c r="F116" s="74"/>
      <c r="G116" s="74"/>
      <c r="H116" s="74"/>
      <c r="I116" s="74"/>
      <c r="J116" s="74"/>
      <c r="K116" s="74"/>
      <c r="L116" s="30"/>
      <c r="M116" s="37"/>
      <c r="N116" s="38"/>
      <c r="O116" s="38"/>
      <c r="P116" s="38"/>
      <c r="Q116" s="38"/>
      <c r="R116" s="37"/>
      <c r="S116" s="37"/>
      <c r="T116" s="39"/>
    </row>
    <row r="117" spans="1:35" s="26" customFormat="1" ht="13.8" x14ac:dyDescent="0.3">
      <c r="A117" s="76"/>
      <c r="B117" s="76" t="s">
        <v>50</v>
      </c>
      <c r="C117" s="76"/>
      <c r="D117" s="76"/>
      <c r="E117" s="76"/>
      <c r="F117" s="76"/>
      <c r="G117" s="76"/>
      <c r="H117" s="76"/>
      <c r="I117" s="76"/>
      <c r="J117" s="76"/>
      <c r="K117" s="76"/>
      <c r="L117" s="29"/>
      <c r="M117" s="27"/>
      <c r="N117" s="27"/>
      <c r="O117" s="27"/>
      <c r="P117" s="27"/>
      <c r="Q117" s="27"/>
      <c r="R117" s="27"/>
      <c r="S117" s="27"/>
      <c r="T117" s="27"/>
    </row>
    <row r="118" spans="1:35" s="26" customFormat="1" ht="13.8" x14ac:dyDescent="0.3">
      <c r="A118" s="76"/>
      <c r="B118" s="117" t="s">
        <v>82</v>
      </c>
      <c r="C118" s="76"/>
      <c r="D118" s="79"/>
      <c r="E118" s="76"/>
      <c r="F118" s="76"/>
      <c r="G118" s="80"/>
      <c r="H118" s="76"/>
      <c r="I118" s="76"/>
      <c r="J118" s="76"/>
      <c r="K118" s="76"/>
      <c r="M118" s="27"/>
      <c r="N118" s="27"/>
      <c r="O118" s="27"/>
      <c r="P118" s="27"/>
      <c r="Q118" s="27"/>
      <c r="R118" s="27"/>
      <c r="S118" s="27"/>
      <c r="T118" s="27"/>
    </row>
    <row r="119" spans="1:35" s="26" customFormat="1" ht="13.8" x14ac:dyDescent="0.3">
      <c r="A119" s="76"/>
      <c r="C119" s="76"/>
      <c r="D119" s="79"/>
      <c r="E119" s="76"/>
      <c r="F119" s="76"/>
      <c r="G119" s="76"/>
      <c r="H119" s="76"/>
      <c r="I119" s="76"/>
      <c r="J119" s="76"/>
      <c r="K119" s="76"/>
      <c r="M119" s="27"/>
      <c r="N119" s="27"/>
      <c r="O119" s="27"/>
      <c r="P119" s="27"/>
      <c r="Q119" s="27"/>
      <c r="R119" s="27"/>
      <c r="S119" s="27"/>
      <c r="T119" s="27"/>
      <c r="V119" s="40"/>
      <c r="W119" s="40"/>
      <c r="Y119" s="5"/>
      <c r="Z119" s="5"/>
      <c r="AA119" s="5"/>
      <c r="AB119" s="5"/>
      <c r="AC119" s="7"/>
      <c r="AD119" s="5"/>
      <c r="AE119" s="5"/>
      <c r="AF119" s="5"/>
      <c r="AG119" s="5"/>
      <c r="AH119" s="5"/>
      <c r="AI119" s="5"/>
    </row>
    <row r="120" spans="1:35" s="28" customFormat="1" ht="13.5" customHeight="1" x14ac:dyDescent="0.3">
      <c r="A120" s="76"/>
      <c r="B120" s="76"/>
      <c r="C120" s="76"/>
      <c r="D120" s="79"/>
      <c r="E120" s="76"/>
      <c r="F120" s="76"/>
      <c r="G120" s="76"/>
      <c r="H120" s="76"/>
      <c r="I120" s="76"/>
      <c r="J120" s="76"/>
      <c r="K120" s="76"/>
      <c r="L120" s="30"/>
      <c r="M120" s="27"/>
      <c r="N120" s="27"/>
      <c r="O120" s="27"/>
      <c r="P120" s="27"/>
      <c r="Q120" s="27"/>
      <c r="R120" s="27"/>
      <c r="S120" s="27"/>
      <c r="T120" s="27"/>
      <c r="U120" s="30"/>
      <c r="V120" s="40"/>
      <c r="W120" s="40"/>
      <c r="X120" s="30"/>
      <c r="Y120" s="5"/>
      <c r="Z120" s="18"/>
      <c r="AA120" s="46"/>
      <c r="AB120" s="46"/>
      <c r="AC120" s="5"/>
      <c r="AD120" s="5"/>
      <c r="AE120" s="5"/>
      <c r="AF120" s="5"/>
      <c r="AG120" s="5"/>
      <c r="AH120" s="5"/>
      <c r="AI120" s="5"/>
    </row>
    <row r="121" spans="1:35" s="28" customFormat="1" ht="13.8" x14ac:dyDescent="0.3">
      <c r="A121" s="80"/>
      <c r="B121" s="28" t="s">
        <v>89</v>
      </c>
      <c r="E121" s="83" t="s">
        <v>83</v>
      </c>
      <c r="F121" s="118">
        <f>J46</f>
        <v>1.3553216371475063</v>
      </c>
      <c r="G121" s="80"/>
      <c r="H121" s="80"/>
      <c r="I121" s="80"/>
      <c r="J121" s="80"/>
      <c r="K121" s="80"/>
      <c r="L121" s="30"/>
      <c r="M121" s="27"/>
      <c r="N121" s="27"/>
      <c r="O121" s="27"/>
      <c r="P121" s="27"/>
      <c r="Q121" s="27"/>
      <c r="R121" s="27"/>
      <c r="S121" s="27"/>
      <c r="T121" s="27"/>
      <c r="U121" s="30"/>
      <c r="V121" s="40"/>
      <c r="W121" s="40"/>
      <c r="X121" s="30"/>
      <c r="Y121" s="5"/>
      <c r="Z121" s="46"/>
      <c r="AA121" s="29"/>
      <c r="AB121" s="31"/>
      <c r="AC121" s="5"/>
      <c r="AD121" s="5"/>
      <c r="AE121" s="5"/>
      <c r="AF121" s="5"/>
      <c r="AG121" s="5"/>
      <c r="AH121" s="5"/>
      <c r="AI121" s="5"/>
    </row>
    <row r="122" spans="1:35" s="28" customFormat="1" ht="13.8" x14ac:dyDescent="0.3">
      <c r="A122" s="76"/>
      <c r="B122" s="83" t="s">
        <v>84</v>
      </c>
      <c r="C122" s="28" t="str">
        <f>[1]!xln(C123)</f>
        <v>3.8 × 12.7</v>
      </c>
      <c r="D122" s="80"/>
      <c r="E122" s="76"/>
      <c r="F122" s="76"/>
      <c r="G122" s="76"/>
      <c r="H122" s="76"/>
      <c r="I122" s="76"/>
      <c r="J122" s="76"/>
      <c r="K122" s="76"/>
      <c r="L122" s="30"/>
      <c r="M122" s="27"/>
      <c r="N122" s="27"/>
      <c r="O122" s="27"/>
      <c r="P122" s="27"/>
      <c r="Q122" s="27"/>
      <c r="R122" s="27"/>
      <c r="S122" s="27"/>
      <c r="T122" s="27"/>
      <c r="U122" s="30"/>
      <c r="V122" s="40"/>
      <c r="W122" s="40"/>
      <c r="X122" s="30"/>
      <c r="Y122" s="5"/>
      <c r="Z122" s="46"/>
      <c r="AA122" s="29"/>
      <c r="AB122" s="31"/>
      <c r="AC122" s="47"/>
      <c r="AD122" s="5"/>
      <c r="AE122" s="48"/>
      <c r="AF122" s="47"/>
      <c r="AG122" s="47"/>
      <c r="AH122" s="47"/>
      <c r="AI122" s="5"/>
    </row>
    <row r="123" spans="1:35" s="28" customFormat="1" ht="13.8" x14ac:dyDescent="0.3">
      <c r="A123" s="76"/>
      <c r="B123" s="79" t="s">
        <v>85</v>
      </c>
      <c r="C123" s="99">
        <f>C35*C19</f>
        <v>48.223350253807105</v>
      </c>
      <c r="D123" s="94" t="s">
        <v>109</v>
      </c>
      <c r="E123" s="76"/>
      <c r="F123" s="76"/>
      <c r="G123" s="76"/>
      <c r="H123" s="76"/>
      <c r="I123" s="76"/>
      <c r="J123" s="76"/>
      <c r="K123" s="76"/>
      <c r="L123" s="30"/>
      <c r="M123" s="27"/>
      <c r="N123" s="27"/>
      <c r="O123" s="27"/>
      <c r="P123" s="27"/>
      <c r="Q123" s="27"/>
      <c r="R123" s="27"/>
      <c r="S123" s="27"/>
      <c r="T123" s="27"/>
      <c r="U123" s="30"/>
      <c r="V123" s="40"/>
      <c r="X123" s="124">
        <v>1.5</v>
      </c>
      <c r="Y123" s="125">
        <v>1.4</v>
      </c>
      <c r="Z123" s="126">
        <v>1.3</v>
      </c>
      <c r="AA123" s="127">
        <v>1.2</v>
      </c>
      <c r="AB123" s="127">
        <v>1.1000000000000001</v>
      </c>
      <c r="AC123" s="126">
        <v>1</v>
      </c>
      <c r="AD123" s="47"/>
      <c r="AE123" s="47"/>
      <c r="AF123" s="28">
        <f>INDEX(X123:AC123,AF124)</f>
        <v>1.4</v>
      </c>
      <c r="AG123" s="28">
        <f>INDEX(X123:AC123,AG124)</f>
        <v>1.3</v>
      </c>
      <c r="AH123" s="47"/>
      <c r="AI123" s="23"/>
    </row>
    <row r="124" spans="1:35" s="28" customFormat="1" ht="13.8" x14ac:dyDescent="0.3">
      <c r="A124" s="82"/>
      <c r="B124" s="83"/>
      <c r="C124" s="84"/>
      <c r="D124" s="76"/>
      <c r="E124" s="76"/>
      <c r="F124" s="76"/>
      <c r="G124" s="76"/>
      <c r="H124" s="84"/>
      <c r="I124" s="76"/>
      <c r="J124" s="76"/>
      <c r="K124" s="76"/>
      <c r="L124" s="30"/>
      <c r="M124" s="27"/>
      <c r="N124" s="27"/>
      <c r="O124" s="27"/>
      <c r="P124" s="27"/>
      <c r="Q124" s="27"/>
      <c r="R124" s="27"/>
      <c r="S124" s="27"/>
      <c r="T124" s="27"/>
      <c r="U124" s="30"/>
      <c r="V124" s="40"/>
      <c r="W124" s="40"/>
      <c r="X124" s="30"/>
      <c r="Y124" s="23"/>
      <c r="Z124" s="50"/>
      <c r="AA124" s="29"/>
      <c r="AB124" s="31"/>
      <c r="AC124" s="51"/>
      <c r="AD124" s="51"/>
      <c r="AE124" s="51"/>
      <c r="AF124" s="28">
        <f>MATCH(AF128,X123:AC123,-1)</f>
        <v>2</v>
      </c>
      <c r="AG124" s="47">
        <f>AF124+1</f>
        <v>3</v>
      </c>
      <c r="AH124" s="51"/>
      <c r="AI124" s="23"/>
    </row>
    <row r="125" spans="1:35" s="28" customFormat="1" ht="13.8" x14ac:dyDescent="0.3">
      <c r="A125" s="82"/>
      <c r="B125" s="84" t="s">
        <v>90</v>
      </c>
      <c r="C125" s="82"/>
      <c r="D125" s="79"/>
      <c r="E125" s="76"/>
      <c r="F125" s="85"/>
      <c r="G125" s="76"/>
      <c r="H125" s="85"/>
      <c r="I125" s="80"/>
      <c r="J125" s="80"/>
      <c r="K125" s="76"/>
      <c r="L125" s="30"/>
      <c r="M125" s="27"/>
      <c r="N125" s="27"/>
      <c r="O125" s="27"/>
      <c r="P125" s="27"/>
      <c r="Q125" s="27"/>
      <c r="R125" s="27"/>
      <c r="S125" s="27"/>
      <c r="T125" s="27"/>
      <c r="U125" s="30"/>
      <c r="V125" s="40"/>
      <c r="W125" s="40"/>
      <c r="X125" s="5">
        <v>2.2999999999999998</v>
      </c>
      <c r="Y125" s="5">
        <v>2.1</v>
      </c>
      <c r="Z125" s="5">
        <v>1.9</v>
      </c>
      <c r="AA125" s="5">
        <v>1.72</v>
      </c>
      <c r="AB125" s="5">
        <v>1.53</v>
      </c>
      <c r="AC125" s="5">
        <v>1.34</v>
      </c>
      <c r="AD125" s="5"/>
      <c r="AE125" s="5"/>
      <c r="AF125" s="5">
        <f>INDEX(X125:AC125,AF124)</f>
        <v>2.1</v>
      </c>
      <c r="AG125" s="5">
        <f>INDEX(X125:AC125,AG124)</f>
        <v>1.9</v>
      </c>
      <c r="AH125" s="5"/>
      <c r="AI125" s="5"/>
    </row>
    <row r="126" spans="1:35" s="28" customFormat="1" ht="13.8" x14ac:dyDescent="0.3">
      <c r="A126" s="82"/>
      <c r="B126" s="83" t="s">
        <v>84</v>
      </c>
      <c r="C126" s="28" t="str">
        <f>[1]!xln(C127)</f>
        <v>3.8 × 8.63</v>
      </c>
      <c r="D126" s="86"/>
      <c r="E126" s="76"/>
      <c r="F126" s="85"/>
      <c r="G126" s="76"/>
      <c r="H126" s="85"/>
      <c r="I126" s="80"/>
      <c r="J126" s="80"/>
      <c r="K126" s="76"/>
      <c r="L126" s="30"/>
      <c r="M126" s="27"/>
      <c r="N126" s="27"/>
      <c r="O126" s="27"/>
      <c r="P126" s="27"/>
      <c r="Q126" s="27"/>
      <c r="R126" s="27"/>
      <c r="S126" s="27"/>
      <c r="T126" s="27"/>
      <c r="U126" s="30"/>
      <c r="V126" s="40"/>
      <c r="W126" s="40"/>
      <c r="X126" s="23">
        <v>-0.32</v>
      </c>
      <c r="Y126" s="23">
        <v>-0.32</v>
      </c>
      <c r="Z126" s="23">
        <v>-0.32</v>
      </c>
      <c r="AA126" s="23">
        <v>-0.32</v>
      </c>
      <c r="AB126" s="23">
        <v>-0.32</v>
      </c>
      <c r="AC126" s="23">
        <v>-0.32</v>
      </c>
      <c r="AD126" s="5"/>
      <c r="AE126" s="5"/>
      <c r="AF126" s="5">
        <f>INDEX(X126:AC126,AF124)</f>
        <v>-0.32</v>
      </c>
      <c r="AG126" s="5">
        <f>INDEX(X126:AC126,AG124)</f>
        <v>-0.32</v>
      </c>
      <c r="AH126" s="51"/>
      <c r="AI126" s="5"/>
    </row>
    <row r="127" spans="1:35" s="28" customFormat="1" ht="13.8" x14ac:dyDescent="0.3">
      <c r="A127" s="76"/>
      <c r="B127" s="76"/>
      <c r="C127" s="107">
        <f>C35*C23</f>
        <v>32.791878172588831</v>
      </c>
      <c r="D127" s="94" t="s">
        <v>109</v>
      </c>
      <c r="E127" s="76"/>
      <c r="F127" s="87"/>
      <c r="G127" s="76"/>
      <c r="H127" s="87"/>
      <c r="I127" s="80"/>
      <c r="J127" s="80"/>
      <c r="K127" s="76"/>
      <c r="L127" s="30"/>
      <c r="M127" s="27"/>
      <c r="N127" s="27"/>
      <c r="O127" s="27"/>
      <c r="P127" s="27"/>
      <c r="Q127" s="27"/>
      <c r="R127" s="27"/>
      <c r="S127" s="27"/>
      <c r="T127" s="27"/>
      <c r="U127" s="30"/>
      <c r="V127" s="40"/>
      <c r="W127" s="40"/>
      <c r="X127" s="30"/>
      <c r="Y127" s="5"/>
      <c r="Z127" s="5"/>
      <c r="AA127" s="5"/>
      <c r="AB127" s="5"/>
      <c r="AC127" s="5"/>
      <c r="AD127" s="18"/>
      <c r="AE127" s="18"/>
      <c r="AF127" s="18"/>
      <c r="AG127" s="18"/>
      <c r="AH127" s="51"/>
      <c r="AI127" s="5"/>
    </row>
    <row r="128" spans="1:35" s="28" customFormat="1" ht="13.8" x14ac:dyDescent="0.3">
      <c r="A128" s="82"/>
      <c r="B128" s="76"/>
      <c r="C128" s="86"/>
      <c r="D128" s="87"/>
      <c r="E128" s="76"/>
      <c r="F128" s="87"/>
      <c r="G128" s="76"/>
      <c r="H128" s="87"/>
      <c r="I128" s="80"/>
      <c r="J128" s="80"/>
      <c r="K128" s="76"/>
      <c r="L128" s="30"/>
      <c r="M128" s="27"/>
      <c r="N128" s="27"/>
      <c r="O128" s="27"/>
      <c r="P128" s="27"/>
      <c r="Q128" s="27"/>
      <c r="R128" s="27"/>
      <c r="S128" s="27"/>
      <c r="T128" s="27"/>
      <c r="U128" s="30"/>
      <c r="V128" s="40"/>
      <c r="W128" s="40"/>
      <c r="X128" s="30"/>
      <c r="Y128" s="5"/>
      <c r="Z128" s="5"/>
      <c r="AA128" s="5"/>
      <c r="AB128" s="5"/>
      <c r="AC128" s="5"/>
      <c r="AD128" s="18"/>
      <c r="AE128" s="18"/>
      <c r="AF128" s="49">
        <f>IF(F121&gt;1.5,1.5,F121)</f>
        <v>1.3553216371475063</v>
      </c>
      <c r="AG128" s="18"/>
      <c r="AH128" s="51"/>
      <c r="AI128" s="5"/>
    </row>
    <row r="129" spans="1:35" s="28" customFormat="1" ht="15" x14ac:dyDescent="0.35">
      <c r="A129" s="82"/>
      <c r="B129" s="123" t="s">
        <v>93</v>
      </c>
      <c r="C129" s="86"/>
      <c r="D129" s="87"/>
      <c r="E129" s="76"/>
      <c r="F129" s="87"/>
      <c r="G129" s="76"/>
      <c r="H129" s="87"/>
      <c r="I129" s="80"/>
      <c r="J129" s="80"/>
      <c r="K129" s="76"/>
      <c r="L129" s="30"/>
      <c r="M129" s="27"/>
      <c r="N129" s="27"/>
      <c r="O129" s="27"/>
      <c r="P129" s="27"/>
      <c r="Q129" s="27"/>
      <c r="R129" s="27"/>
      <c r="S129" s="27"/>
      <c r="T129" s="27"/>
      <c r="U129" s="30"/>
      <c r="V129" s="40"/>
      <c r="W129" s="40">
        <v>0</v>
      </c>
      <c r="X129" s="30"/>
      <c r="Y129" s="5"/>
      <c r="Z129" s="5"/>
      <c r="AA129" s="5"/>
      <c r="AB129" s="5"/>
      <c r="AC129" s="5"/>
      <c r="AD129" s="18">
        <v>0.5</v>
      </c>
      <c r="AE129" s="18"/>
      <c r="AF129" s="18"/>
      <c r="AG129" s="18"/>
      <c r="AH129" s="5"/>
      <c r="AI129" s="5"/>
    </row>
    <row r="130" spans="1:35" s="28" customFormat="1" ht="13.8" x14ac:dyDescent="0.3">
      <c r="A130" s="82"/>
      <c r="B130" s="82"/>
      <c r="C130" s="86"/>
      <c r="D130" s="87"/>
      <c r="E130" s="76"/>
      <c r="F130" s="87"/>
      <c r="G130" s="76"/>
      <c r="H130" s="87"/>
      <c r="I130" s="80"/>
      <c r="J130" s="80"/>
      <c r="K130" s="82"/>
      <c r="L130" s="30"/>
      <c r="M130" s="27"/>
      <c r="N130" s="27"/>
      <c r="O130" s="27"/>
      <c r="P130" s="27"/>
      <c r="Q130" s="27"/>
      <c r="R130" s="27"/>
      <c r="S130" s="27"/>
      <c r="T130" s="27"/>
      <c r="U130" s="30"/>
      <c r="V130" s="40"/>
      <c r="W130" s="40">
        <v>5</v>
      </c>
      <c r="X130" s="120">
        <f xml:space="preserve"> X$125*$W130^X$126</f>
        <v>1.3742237015008811</v>
      </c>
      <c r="Y130" s="120">
        <f xml:space="preserve"> Y125*W130^Y126</f>
        <v>1.2547259883268915</v>
      </c>
      <c r="Z130" s="120">
        <f xml:space="preserve"> Z125*W130^Z126</f>
        <v>1.1352282751529019</v>
      </c>
      <c r="AA130" s="120">
        <f xml:space="preserve"> AA125*W130^AA126</f>
        <v>1.0276803332963111</v>
      </c>
      <c r="AB130" s="120">
        <f xml:space="preserve"> AB125*W130^AB126</f>
        <v>0.91415750578102106</v>
      </c>
      <c r="AC130" s="120">
        <f xml:space="preserve"> AC125*W130^AC126</f>
        <v>0.80063467826573087</v>
      </c>
      <c r="AD130" s="18">
        <v>0.5</v>
      </c>
      <c r="AE130" s="18"/>
      <c r="AF130" s="18"/>
      <c r="AG130" s="18"/>
      <c r="AH130" s="5"/>
      <c r="AI130" s="5"/>
    </row>
    <row r="131" spans="1:35" s="28" customFormat="1" ht="13.8" x14ac:dyDescent="0.3">
      <c r="A131" s="82"/>
      <c r="B131" s="82"/>
      <c r="C131" s="86"/>
      <c r="D131" s="87"/>
      <c r="E131" s="76"/>
      <c r="F131" s="87"/>
      <c r="G131" s="76"/>
      <c r="H131" s="87"/>
      <c r="I131" s="80"/>
      <c r="J131" s="80"/>
      <c r="K131" s="82"/>
      <c r="L131" s="30"/>
      <c r="M131" s="27"/>
      <c r="N131" s="27"/>
      <c r="O131" s="27"/>
      <c r="P131" s="27"/>
      <c r="Q131" s="27"/>
      <c r="R131" s="27"/>
      <c r="S131" s="27"/>
      <c r="T131" s="27"/>
      <c r="U131" s="30"/>
      <c r="V131" s="40"/>
      <c r="W131" s="40">
        <v>7</v>
      </c>
      <c r="X131" s="120">
        <f t="shared" ref="X131:X151" si="0" xml:space="preserve"> X$125*$W131^X$126</f>
        <v>1.2339468771401767</v>
      </c>
      <c r="Y131" s="120">
        <f xml:space="preserve"> Y125*W131^Y126</f>
        <v>1.1266471486932048</v>
      </c>
      <c r="Z131" s="120">
        <f xml:space="preserve"> Z125*W131^Z126</f>
        <v>1.0193474202462329</v>
      </c>
      <c r="AA131" s="120">
        <f xml:space="preserve"> AA125*W131^AA126</f>
        <v>0.92277766464395816</v>
      </c>
      <c r="AB131" s="120">
        <f xml:space="preserve"> AB125*W131^AB126</f>
        <v>0.820842922619335</v>
      </c>
      <c r="AC131" s="120">
        <f xml:space="preserve"> AC125*W131^AC126</f>
        <v>0.71890818059471173</v>
      </c>
      <c r="AD131" s="18">
        <v>0.5</v>
      </c>
      <c r="AE131" s="40">
        <f>C123</f>
        <v>48.223350253807105</v>
      </c>
      <c r="AF131" s="120">
        <f xml:space="preserve"> AF125*AE131^AF126</f>
        <v>0.60754287695829023</v>
      </c>
      <c r="AG131" s="120">
        <f xml:space="preserve"> AG125*AE131^AG126</f>
        <v>0.54968165058131024</v>
      </c>
      <c r="AH131" s="5"/>
      <c r="AI131" s="5"/>
    </row>
    <row r="132" spans="1:35" s="28" customFormat="1" ht="13.8" x14ac:dyDescent="0.3">
      <c r="A132" s="76"/>
      <c r="B132" s="76"/>
      <c r="C132" s="76"/>
      <c r="D132" s="76"/>
      <c r="E132" s="76"/>
      <c r="F132" s="76"/>
      <c r="G132" s="76"/>
      <c r="H132" s="76"/>
      <c r="I132" s="76"/>
      <c r="J132" s="76"/>
      <c r="K132" s="76"/>
      <c r="L132" s="30"/>
      <c r="M132" s="27"/>
      <c r="N132" s="27"/>
      <c r="O132" s="27"/>
      <c r="P132" s="27"/>
      <c r="Q132" s="27"/>
      <c r="R132" s="27"/>
      <c r="S132" s="27"/>
      <c r="T132" s="27"/>
      <c r="U132" s="30"/>
      <c r="V132" s="40"/>
      <c r="W132" s="40">
        <v>9</v>
      </c>
      <c r="X132" s="120">
        <f t="shared" si="0"/>
        <v>1.138597518597833</v>
      </c>
      <c r="Y132" s="120">
        <f xml:space="preserve"> Y125*W132^Y126</f>
        <v>1.0395890387197606</v>
      </c>
      <c r="Z132" s="120">
        <f xml:space="preserve"> Z125*W132^Z126</f>
        <v>0.94058055884168812</v>
      </c>
      <c r="AA132" s="120">
        <f xml:space="preserve"> AA125*W132^AA126</f>
        <v>0.85147292695142296</v>
      </c>
      <c r="AB132" s="120">
        <f xml:space="preserve"> AB125*W132^AB126</f>
        <v>0.75741487106725425</v>
      </c>
      <c r="AC132" s="120">
        <f xml:space="preserve"> AC125*W132^AC126</f>
        <v>0.66335681518308542</v>
      </c>
      <c r="AD132" s="18">
        <v>0.5</v>
      </c>
      <c r="AE132" s="51"/>
      <c r="AF132" s="54">
        <f>(AF131-AG131)/(AF123-AG123)*(AF128-AG123)+AG131</f>
        <v>0.5816914282866803</v>
      </c>
      <c r="AG132" s="51"/>
      <c r="AH132" s="51"/>
      <c r="AI132" s="23"/>
    </row>
    <row r="133" spans="1:35" s="28" customFormat="1" ht="13.8" x14ac:dyDescent="0.3">
      <c r="A133" s="76"/>
      <c r="B133" s="76"/>
      <c r="C133" s="76"/>
      <c r="D133" s="76"/>
      <c r="E133" s="76"/>
      <c r="F133" s="76"/>
      <c r="G133" s="76"/>
      <c r="H133" s="76"/>
      <c r="I133" s="76"/>
      <c r="J133" s="76"/>
      <c r="K133" s="76"/>
      <c r="L133" s="30"/>
      <c r="M133" s="27"/>
      <c r="N133" s="27"/>
      <c r="O133" s="27"/>
      <c r="P133" s="27"/>
      <c r="Q133" s="27"/>
      <c r="R133" s="27"/>
      <c r="S133" s="27"/>
      <c r="T133" s="27"/>
      <c r="U133" s="30"/>
      <c r="V133" s="40"/>
      <c r="W133" s="40">
        <v>11</v>
      </c>
      <c r="X133" s="120">
        <f t="shared" si="0"/>
        <v>1.0677809704313193</v>
      </c>
      <c r="Y133" s="120">
        <f xml:space="preserve"> Y125*W133^Y126</f>
        <v>0.97493045126337852</v>
      </c>
      <c r="Z133" s="120">
        <f xml:space="preserve"> Z125*W133^Z126</f>
        <v>0.88207993209543756</v>
      </c>
      <c r="AA133" s="120">
        <f xml:space="preserve"> AA125*W133^AA126</f>
        <v>0.79851446484429089</v>
      </c>
      <c r="AB133" s="120">
        <f xml:space="preserve"> AB125*W133^AB126</f>
        <v>0.71030647163474714</v>
      </c>
      <c r="AC133" s="120">
        <f xml:space="preserve"> AC125*W133^AC126</f>
        <v>0.62209847842520338</v>
      </c>
      <c r="AD133" s="18">
        <v>0.5</v>
      </c>
      <c r="AE133" s="45"/>
      <c r="AF133" s="45"/>
      <c r="AG133" s="45"/>
      <c r="AH133" s="45"/>
      <c r="AI133" s="44"/>
    </row>
    <row r="134" spans="1:35" s="28" customFormat="1" ht="13.8" x14ac:dyDescent="0.3">
      <c r="A134" s="83"/>
      <c r="B134" s="80"/>
      <c r="C134" s="80"/>
      <c r="D134" s="88"/>
      <c r="E134" s="76"/>
      <c r="F134" s="76"/>
      <c r="G134" s="76"/>
      <c r="H134" s="76"/>
      <c r="I134" s="76"/>
      <c r="J134" s="76"/>
      <c r="K134" s="76"/>
      <c r="L134" s="30"/>
      <c r="M134" s="27"/>
      <c r="N134" s="27"/>
      <c r="O134" s="27"/>
      <c r="P134" s="27"/>
      <c r="Q134" s="27"/>
      <c r="R134" s="27"/>
      <c r="S134" s="27"/>
      <c r="T134" s="27"/>
      <c r="U134" s="30"/>
      <c r="V134" s="40"/>
      <c r="W134" s="40">
        <v>13</v>
      </c>
      <c r="X134" s="120">
        <f t="shared" si="0"/>
        <v>1.0121991383646831</v>
      </c>
      <c r="Y134" s="120">
        <f xml:space="preserve"> Y125*W134^Y126</f>
        <v>0.92418182198514554</v>
      </c>
      <c r="Z134" s="120">
        <f xml:space="preserve"> Z125*W134^Z126</f>
        <v>0.83616450560560784</v>
      </c>
      <c r="AA134" s="120">
        <f xml:space="preserve"> AA125*W134^AA126</f>
        <v>0.75694892086402399</v>
      </c>
      <c r="AB134" s="120">
        <f xml:space="preserve"> AB125*W134^AB126</f>
        <v>0.67333247030346322</v>
      </c>
      <c r="AC134" s="120">
        <f xml:space="preserve"> AC125*W134^AC126</f>
        <v>0.58971601974290244</v>
      </c>
      <c r="AD134" s="18">
        <v>0.5</v>
      </c>
      <c r="AE134" s="45"/>
      <c r="AF134" s="45"/>
      <c r="AG134" s="45"/>
      <c r="AH134" s="45"/>
      <c r="AI134" s="44"/>
    </row>
    <row r="135" spans="1:35" s="28" customFormat="1" ht="13.8" x14ac:dyDescent="0.3">
      <c r="A135" s="79"/>
      <c r="B135" s="89"/>
      <c r="C135" s="90"/>
      <c r="D135" s="91"/>
      <c r="E135" s="76"/>
      <c r="F135" s="79"/>
      <c r="G135" s="81"/>
      <c r="H135" s="76"/>
      <c r="I135" s="80"/>
      <c r="J135" s="76"/>
      <c r="K135" s="76"/>
      <c r="L135" s="30"/>
      <c r="M135" s="27"/>
      <c r="N135" s="27"/>
      <c r="O135" s="27"/>
      <c r="P135" s="27"/>
      <c r="Q135" s="27"/>
      <c r="R135" s="27"/>
      <c r="S135" s="27"/>
      <c r="T135" s="27"/>
      <c r="U135" s="30"/>
      <c r="V135" s="40"/>
      <c r="W135" s="40">
        <v>15</v>
      </c>
      <c r="X135" s="120">
        <f t="shared" si="0"/>
        <v>0.96689348318850965</v>
      </c>
      <c r="Y135" s="120">
        <f xml:space="preserve"> Y125*W135^Y126</f>
        <v>0.88281578899820456</v>
      </c>
      <c r="Z135" s="120">
        <f xml:space="preserve"> Z125*W135^Z126</f>
        <v>0.79873809480789937</v>
      </c>
      <c r="AA135" s="120">
        <f xml:space="preserve"> AA125*W135^AA126</f>
        <v>0.72306817003662471</v>
      </c>
      <c r="AB135" s="120">
        <f xml:space="preserve"> AB125*W135^AB126</f>
        <v>0.64319436055583479</v>
      </c>
      <c r="AC135" s="120">
        <f xml:space="preserve"> AC125*W135^AC126</f>
        <v>0.56332055107504486</v>
      </c>
      <c r="AD135" s="18">
        <v>0.5</v>
      </c>
      <c r="AE135" s="45"/>
      <c r="AF135" s="45"/>
      <c r="AG135" s="45"/>
      <c r="AH135" s="45"/>
      <c r="AI135" s="44"/>
    </row>
    <row r="136" spans="1:35" s="28" customFormat="1" ht="13.8" x14ac:dyDescent="0.3">
      <c r="A136" s="83"/>
      <c r="B136" s="80"/>
      <c r="C136" s="80"/>
      <c r="D136" s="91"/>
      <c r="E136" s="76"/>
      <c r="F136" s="79"/>
      <c r="G136" s="76"/>
      <c r="H136" s="76"/>
      <c r="I136" s="80"/>
      <c r="J136" s="84"/>
      <c r="K136" s="84"/>
      <c r="L136" s="30"/>
      <c r="M136" s="27"/>
      <c r="N136" s="27"/>
      <c r="O136" s="27"/>
      <c r="P136" s="27"/>
      <c r="Q136" s="27"/>
      <c r="R136" s="27"/>
      <c r="S136" s="27"/>
      <c r="T136" s="27"/>
      <c r="U136" s="30"/>
      <c r="V136" s="40"/>
      <c r="W136" s="40">
        <v>17</v>
      </c>
      <c r="X136" s="120">
        <f t="shared" si="0"/>
        <v>0.92893255055070945</v>
      </c>
      <c r="Y136" s="120">
        <f xml:space="preserve"> Y125*W136^Y126</f>
        <v>0.84815580702456095</v>
      </c>
      <c r="Z136" s="120">
        <f xml:space="preserve"> Z125*W136^Z126</f>
        <v>0.76737906349841212</v>
      </c>
      <c r="AA136" s="120">
        <f xml:space="preserve"> AA125*W136^AA126</f>
        <v>0.69467999432487837</v>
      </c>
      <c r="AB136" s="120">
        <f xml:space="preserve"> AB125*W136^AB126</f>
        <v>0.61794208797503725</v>
      </c>
      <c r="AC136" s="120">
        <f xml:space="preserve"> AC125*W136^AC126</f>
        <v>0.54120418162519601</v>
      </c>
      <c r="AD136" s="18">
        <v>0.5</v>
      </c>
      <c r="AE136" s="45"/>
      <c r="AF136" s="45"/>
      <c r="AG136" s="45"/>
      <c r="AH136" s="45"/>
      <c r="AI136" s="44"/>
    </row>
    <row r="137" spans="1:35" s="28" customFormat="1" ht="13.8" x14ac:dyDescent="0.3">
      <c r="A137" s="83"/>
      <c r="B137" s="92"/>
      <c r="C137" s="76"/>
      <c r="D137" s="76"/>
      <c r="E137" s="76"/>
      <c r="F137" s="83"/>
      <c r="G137" s="84"/>
      <c r="H137" s="76"/>
      <c r="I137" s="80"/>
      <c r="J137" s="84"/>
      <c r="K137" s="84"/>
      <c r="L137" s="30"/>
      <c r="M137" s="27"/>
      <c r="N137" s="27"/>
      <c r="O137" s="27"/>
      <c r="P137" s="27"/>
      <c r="Q137" s="27"/>
      <c r="R137" s="27"/>
      <c r="S137" s="27"/>
      <c r="T137" s="27"/>
      <c r="U137" s="30"/>
      <c r="V137" s="40"/>
      <c r="W137" s="40">
        <v>21</v>
      </c>
      <c r="X137" s="120">
        <f t="shared" si="0"/>
        <v>0.86819576230899731</v>
      </c>
      <c r="Y137" s="120">
        <f xml:space="preserve"> Y125*W137^Y126</f>
        <v>0.79270047862995408</v>
      </c>
      <c r="Z137" s="120">
        <f xml:space="preserve"> Z125*W137^Z126</f>
        <v>0.71720519495091084</v>
      </c>
      <c r="AA137" s="120">
        <f xml:space="preserve"> AA125*W137^AA126</f>
        <v>0.64925943963977195</v>
      </c>
      <c r="AB137" s="120">
        <f xml:space="preserve"> AB125*W137^AB126</f>
        <v>0.57753892014468089</v>
      </c>
      <c r="AC137" s="120">
        <f xml:space="preserve"> AC125*W137^AC126</f>
        <v>0.50581840064958983</v>
      </c>
      <c r="AD137" s="18">
        <v>0.5</v>
      </c>
      <c r="AE137" s="40">
        <f>C127</f>
        <v>32.791878172588831</v>
      </c>
      <c r="AF137" s="120">
        <f xml:space="preserve"> AF125*AE137^AF126</f>
        <v>0.68734389774871341</v>
      </c>
      <c r="AG137" s="120">
        <f xml:space="preserve"> AG125*AE137^AG126</f>
        <v>0.62188257415359782</v>
      </c>
      <c r="AH137" s="45"/>
      <c r="AI137" s="44"/>
    </row>
    <row r="138" spans="1:35" s="28" customFormat="1" ht="13.8" x14ac:dyDescent="0.3">
      <c r="A138" s="76"/>
      <c r="B138" s="80"/>
      <c r="C138" s="80"/>
      <c r="D138" s="93"/>
      <c r="E138" s="76"/>
      <c r="F138" s="83"/>
      <c r="G138" s="80"/>
      <c r="H138" s="80"/>
      <c r="I138" s="76"/>
      <c r="J138" s="76"/>
      <c r="K138" s="76"/>
      <c r="L138" s="30"/>
      <c r="M138" s="27"/>
      <c r="N138" s="27"/>
      <c r="O138" s="27"/>
      <c r="P138" s="27"/>
      <c r="Q138" s="27"/>
      <c r="R138" s="27"/>
      <c r="S138" s="27"/>
      <c r="T138" s="27"/>
      <c r="U138" s="30"/>
      <c r="V138" s="40"/>
      <c r="W138" s="40">
        <v>25</v>
      </c>
      <c r="X138" s="120">
        <f t="shared" si="0"/>
        <v>0.82108294859425357</v>
      </c>
      <c r="Y138" s="120">
        <f xml:space="preserve"> Y125*W138^Y126</f>
        <v>0.74968443132518814</v>
      </c>
      <c r="Z138" s="120">
        <f xml:space="preserve"> Z125*W138^Z126</f>
        <v>0.67828591405612249</v>
      </c>
      <c r="AA138" s="120">
        <f xml:space="preserve"> AA125*W138^AA126</f>
        <v>0.61402724851396351</v>
      </c>
      <c r="AB138" s="120">
        <f xml:space="preserve"> AB125*W138^AB126</f>
        <v>0.54619865710835136</v>
      </c>
      <c r="AC138" s="120">
        <f xml:space="preserve"> AC125*W138^AC126</f>
        <v>0.4783700657027391</v>
      </c>
      <c r="AD138" s="18">
        <v>0.5</v>
      </c>
      <c r="AE138" s="43"/>
      <c r="AF138" s="54">
        <f>(AF137-AG137)/(AF123-AG123)*(AF128-AG123)+AG137</f>
        <v>0.65809685006484264</v>
      </c>
      <c r="AG138" s="42"/>
      <c r="AH138" s="5"/>
      <c r="AI138" s="5"/>
    </row>
    <row r="139" spans="1:35" s="28" customFormat="1" ht="13.8" x14ac:dyDescent="0.3">
      <c r="A139" s="76"/>
      <c r="B139" s="76"/>
      <c r="C139" s="76"/>
      <c r="D139" s="76"/>
      <c r="E139" s="76"/>
      <c r="F139" s="83"/>
      <c r="G139" s="80"/>
      <c r="H139" s="80"/>
      <c r="I139" s="76"/>
      <c r="J139" s="76"/>
      <c r="K139" s="76"/>
      <c r="L139" s="30"/>
      <c r="M139" s="27"/>
      <c r="N139" s="27"/>
      <c r="O139" s="27"/>
      <c r="P139" s="27"/>
      <c r="Q139" s="27"/>
      <c r="R139" s="27"/>
      <c r="S139" s="27"/>
      <c r="T139" s="27"/>
      <c r="U139" s="30"/>
      <c r="V139" s="40"/>
      <c r="W139" s="40">
        <v>29</v>
      </c>
      <c r="X139" s="120">
        <f t="shared" si="0"/>
        <v>0.78299768258241931</v>
      </c>
      <c r="Y139" s="120">
        <f xml:space="preserve"> Y125*W139^Y126</f>
        <v>0.71491092757525243</v>
      </c>
      <c r="Z139" s="120">
        <f xml:space="preserve"> Z125*W139^Z126</f>
        <v>0.64682417256808555</v>
      </c>
      <c r="AA139" s="120">
        <f xml:space="preserve"> AA125*W139^AA126</f>
        <v>0.5855460930616353</v>
      </c>
      <c r="AB139" s="120">
        <f xml:space="preserve"> AB125*W139^AB126</f>
        <v>0.52086367580482684</v>
      </c>
      <c r="AC139" s="120">
        <f xml:space="preserve"> AC125*W139^AC126</f>
        <v>0.45618125854801828</v>
      </c>
      <c r="AD139" s="18">
        <v>0.5</v>
      </c>
      <c r="AE139" s="41"/>
      <c r="AF139" s="41"/>
      <c r="AG139" s="41"/>
      <c r="AH139" s="41"/>
      <c r="AI139" s="41"/>
    </row>
    <row r="140" spans="1:35" s="28" customFormat="1" ht="13.8" x14ac:dyDescent="0.3">
      <c r="A140" s="76"/>
      <c r="B140" s="94"/>
      <c r="C140" s="80"/>
      <c r="D140" s="93"/>
      <c r="E140" s="76"/>
      <c r="F140" s="76"/>
      <c r="G140" s="76"/>
      <c r="H140" s="76"/>
      <c r="I140" s="76"/>
      <c r="J140" s="76"/>
      <c r="K140" s="76"/>
      <c r="L140" s="30"/>
      <c r="M140" s="27"/>
      <c r="N140" s="27"/>
      <c r="O140" s="27"/>
      <c r="P140" s="27"/>
      <c r="Q140" s="27"/>
      <c r="R140" s="27"/>
      <c r="S140" s="27"/>
      <c r="T140" s="27"/>
      <c r="U140" s="30"/>
      <c r="V140" s="40"/>
      <c r="W140" s="40">
        <v>33</v>
      </c>
      <c r="X140" s="120">
        <f t="shared" si="0"/>
        <v>0.75128267738007959</v>
      </c>
      <c r="Y140" s="120">
        <f xml:space="preserve"> Y125*W140^Y126</f>
        <v>0.6859537489122467</v>
      </c>
      <c r="Z140" s="120">
        <f xml:space="preserve"> Z125*W140^Z126</f>
        <v>0.62062482044441358</v>
      </c>
      <c r="AA140" s="120">
        <f xml:space="preserve"> AA125*W140^AA126</f>
        <v>0.56182878482336396</v>
      </c>
      <c r="AB140" s="120">
        <f xml:space="preserve"> AB125*W140^AB126</f>
        <v>0.49976630277892259</v>
      </c>
      <c r="AC140" s="120">
        <f xml:space="preserve"> AC125*W140^AC126</f>
        <v>0.43770382073448122</v>
      </c>
      <c r="AD140" s="18">
        <v>0.5</v>
      </c>
      <c r="AE140" s="41"/>
      <c r="AF140" s="49">
        <f>AE131</f>
        <v>48.223350253807105</v>
      </c>
      <c r="AG140" s="49">
        <v>0</v>
      </c>
      <c r="AH140" s="41"/>
      <c r="AI140" s="41"/>
    </row>
    <row r="141" spans="1:35" s="28" customFormat="1" ht="13.8" x14ac:dyDescent="0.3">
      <c r="A141" s="76"/>
      <c r="B141" s="76"/>
      <c r="C141" s="76"/>
      <c r="D141" s="76"/>
      <c r="E141" s="76"/>
      <c r="F141" s="76"/>
      <c r="G141" s="76"/>
      <c r="H141" s="76"/>
      <c r="I141" s="76"/>
      <c r="J141" s="76"/>
      <c r="K141" s="76"/>
      <c r="L141" s="30"/>
      <c r="M141" s="27"/>
      <c r="N141" s="27"/>
      <c r="O141" s="27"/>
      <c r="P141" s="27"/>
      <c r="Q141" s="27"/>
      <c r="R141" s="27"/>
      <c r="S141" s="27"/>
      <c r="T141" s="27"/>
      <c r="U141" s="30"/>
      <c r="V141" s="40"/>
      <c r="W141" s="40">
        <v>37</v>
      </c>
      <c r="X141" s="120">
        <f t="shared" si="0"/>
        <v>0.72427464898020477</v>
      </c>
      <c r="Y141" s="120">
        <f xml:space="preserve"> Y125*W141^Y126</f>
        <v>0.66129424472105669</v>
      </c>
      <c r="Z141" s="120">
        <f xml:space="preserve"> Z125*W141^Z126</f>
        <v>0.59831384046190828</v>
      </c>
      <c r="AA141" s="120">
        <f xml:space="preserve"> AA125*W141^AA126</f>
        <v>0.54163147662867495</v>
      </c>
      <c r="AB141" s="120">
        <f xml:space="preserve"> AB125*W141^AB126</f>
        <v>0.48180009258248413</v>
      </c>
      <c r="AC141" s="120">
        <f xml:space="preserve"> AC125*W141^AC126</f>
        <v>0.42196870853629331</v>
      </c>
      <c r="AD141" s="18">
        <v>0.5</v>
      </c>
      <c r="AE141" s="41"/>
      <c r="AF141" s="49">
        <f>AF140</f>
        <v>48.223350253807105</v>
      </c>
      <c r="AG141" s="49">
        <f>AF132</f>
        <v>0.5816914282866803</v>
      </c>
      <c r="AH141" s="41"/>
      <c r="AI141" s="41"/>
    </row>
    <row r="142" spans="1:35" s="28" customFormat="1" ht="13.8" x14ac:dyDescent="0.3">
      <c r="A142" s="83"/>
      <c r="B142" s="79"/>
      <c r="C142" s="76"/>
      <c r="D142" s="76"/>
      <c r="E142" s="76"/>
      <c r="F142" s="76"/>
      <c r="G142" s="76"/>
      <c r="H142" s="76"/>
      <c r="I142" s="76"/>
      <c r="J142" s="90"/>
      <c r="K142" s="76"/>
      <c r="L142" s="30"/>
      <c r="M142" s="27"/>
      <c r="N142" s="27"/>
      <c r="O142" s="27"/>
      <c r="P142" s="27"/>
      <c r="Q142" s="27"/>
      <c r="R142" s="27"/>
      <c r="S142" s="27"/>
      <c r="T142" s="27"/>
      <c r="U142" s="30"/>
      <c r="V142" s="40"/>
      <c r="W142" s="40">
        <v>41</v>
      </c>
      <c r="X142" s="120">
        <f t="shared" si="0"/>
        <v>0.70086924312612331</v>
      </c>
      <c r="Y142" s="120">
        <f xml:space="preserve"> Y125*W142^Y126</f>
        <v>0.63992409154993879</v>
      </c>
      <c r="Z142" s="120">
        <f xml:space="preserve"> Z125*W142^Z126</f>
        <v>0.57897893997375405</v>
      </c>
      <c r="AA142" s="120">
        <f xml:space="preserve"> AA125*W142^AA126</f>
        <v>0.52412830355518791</v>
      </c>
      <c r="AB142" s="120">
        <f xml:space="preserve"> AB125*W142^AB126</f>
        <v>0.46623040955781253</v>
      </c>
      <c r="AC142" s="120">
        <f xml:space="preserve"> AC125*W142^AC126</f>
        <v>0.40833251556043715</v>
      </c>
      <c r="AD142" s="18">
        <v>0.5</v>
      </c>
      <c r="AE142" s="41"/>
      <c r="AF142" s="49">
        <v>0</v>
      </c>
      <c r="AG142" s="49">
        <f>AG141</f>
        <v>0.5816914282866803</v>
      </c>
      <c r="AH142" s="41"/>
      <c r="AI142" s="41"/>
    </row>
    <row r="143" spans="1:35" s="28" customFormat="1" ht="13.8" x14ac:dyDescent="0.3">
      <c r="A143" s="76"/>
      <c r="B143" s="95"/>
      <c r="C143" s="96"/>
      <c r="D143" s="91"/>
      <c r="E143" s="76"/>
      <c r="F143" s="76"/>
      <c r="G143" s="76"/>
      <c r="H143" s="76"/>
      <c r="I143" s="76"/>
      <c r="J143" s="76"/>
      <c r="K143" s="76"/>
      <c r="L143" s="30"/>
      <c r="M143" s="27"/>
      <c r="N143" s="27"/>
      <c r="O143" s="27"/>
      <c r="P143" s="27"/>
      <c r="Q143" s="27"/>
      <c r="R143" s="27"/>
      <c r="S143" s="27"/>
      <c r="T143" s="27"/>
      <c r="U143" s="30"/>
      <c r="V143" s="40"/>
      <c r="W143" s="40">
        <v>45</v>
      </c>
      <c r="X143" s="120">
        <f t="shared" si="0"/>
        <v>0.68029899849010123</v>
      </c>
      <c r="Y143" s="120">
        <f xml:space="preserve"> Y125*W143^Y126</f>
        <v>0.62114256383878808</v>
      </c>
      <c r="Z143" s="120">
        <f xml:space="preserve"> Z125*W143^Z126</f>
        <v>0.56198612918747493</v>
      </c>
      <c r="AA143" s="120">
        <f xml:space="preserve"> AA125*W143^AA126</f>
        <v>0.50874533800129307</v>
      </c>
      <c r="AB143" s="120">
        <f xml:space="preserve"> AB125*W143^AB126</f>
        <v>0.45254672508254562</v>
      </c>
      <c r="AC143" s="120">
        <f xml:space="preserve"> AC125*W143^AC126</f>
        <v>0.39634811216379812</v>
      </c>
      <c r="AD143" s="18">
        <v>0.5</v>
      </c>
      <c r="AE143" s="41"/>
      <c r="AF143" s="49"/>
      <c r="AG143" s="49"/>
      <c r="AH143" s="41"/>
      <c r="AI143" s="41"/>
    </row>
    <row r="144" spans="1:35" s="28" customFormat="1" ht="13.8" x14ac:dyDescent="0.3">
      <c r="A144" s="76"/>
      <c r="B144" s="79"/>
      <c r="C144" s="81"/>
      <c r="D144" s="76"/>
      <c r="E144" s="76"/>
      <c r="F144" s="76"/>
      <c r="G144" s="76"/>
      <c r="H144" s="76"/>
      <c r="I144" s="76"/>
      <c r="J144" s="86"/>
      <c r="K144" s="76"/>
      <c r="L144" s="30"/>
      <c r="M144" s="27"/>
      <c r="N144" s="27"/>
      <c r="O144" s="27"/>
      <c r="P144" s="27"/>
      <c r="Q144" s="27"/>
      <c r="R144" s="27"/>
      <c r="S144" s="27"/>
      <c r="T144" s="27"/>
      <c r="U144" s="30"/>
      <c r="V144" s="40"/>
      <c r="W144" s="40">
        <v>49</v>
      </c>
      <c r="X144" s="120">
        <f t="shared" si="0"/>
        <v>0.6620108241756496</v>
      </c>
      <c r="Y144" s="120">
        <f xml:space="preserve"> Y125*W144^Y126</f>
        <v>0.60444466555168008</v>
      </c>
      <c r="Z144" s="120">
        <f xml:space="preserve"> Z125*W144^Z126</f>
        <v>0.54687850692771056</v>
      </c>
      <c r="AA144" s="120">
        <f xml:space="preserve"> AA125*W144^AA126</f>
        <v>0.49506896416613799</v>
      </c>
      <c r="AB144" s="120">
        <f xml:space="preserve"> AB125*W144^AB126</f>
        <v>0.44038111347336695</v>
      </c>
      <c r="AC144" s="120">
        <f xml:space="preserve"> AC125*W144^AC126</f>
        <v>0.3856932627805959</v>
      </c>
      <c r="AD144" s="18">
        <v>0.5</v>
      </c>
      <c r="AE144" s="5"/>
      <c r="AF144" s="49">
        <f>AE137</f>
        <v>32.791878172588831</v>
      </c>
      <c r="AG144" s="49">
        <v>0</v>
      </c>
      <c r="AH144" s="5"/>
      <c r="AI144" s="5"/>
    </row>
    <row r="145" spans="1:35" s="28" customFormat="1" ht="13.8" x14ac:dyDescent="0.3">
      <c r="A145" s="83"/>
      <c r="B145" s="92"/>
      <c r="C145" s="76"/>
      <c r="D145" s="76"/>
      <c r="E145" s="76"/>
      <c r="F145" s="83"/>
      <c r="G145" s="92"/>
      <c r="H145" s="76"/>
      <c r="I145" s="76"/>
      <c r="J145" s="76"/>
      <c r="K145" s="76"/>
      <c r="L145" s="30"/>
      <c r="M145" s="27"/>
      <c r="N145" s="27"/>
      <c r="O145" s="27"/>
      <c r="P145" s="27"/>
      <c r="Q145" s="27"/>
      <c r="R145" s="27"/>
      <c r="S145" s="27"/>
      <c r="T145" s="27"/>
      <c r="U145" s="30"/>
      <c r="V145" s="40"/>
      <c r="W145" s="40">
        <v>53</v>
      </c>
      <c r="X145" s="120">
        <f t="shared" si="0"/>
        <v>0.64559410739347756</v>
      </c>
      <c r="Y145" s="120">
        <f xml:space="preserve"> Y125*W145^Y126</f>
        <v>0.58945548935926229</v>
      </c>
      <c r="Z145" s="120">
        <f xml:space="preserve"> Z125*W145^Z126</f>
        <v>0.53331687132504668</v>
      </c>
      <c r="AA145" s="120">
        <f xml:space="preserve"> AA125*W145^AA126</f>
        <v>0.48279211509425285</v>
      </c>
      <c r="AB145" s="120">
        <f xml:space="preserve"> AB125*W145^AB126</f>
        <v>0.42946042796174821</v>
      </c>
      <c r="AC145" s="120">
        <f xml:space="preserve"> AC125*W145^AC126</f>
        <v>0.37612874082924352</v>
      </c>
      <c r="AD145" s="18">
        <v>0.5</v>
      </c>
      <c r="AE145" s="5"/>
      <c r="AF145" s="49">
        <f>AF144</f>
        <v>32.791878172588831</v>
      </c>
      <c r="AG145" s="49">
        <f>AF138</f>
        <v>0.65809685006484264</v>
      </c>
      <c r="AH145" s="5"/>
      <c r="AI145" s="51"/>
    </row>
    <row r="146" spans="1:35" s="28" customFormat="1" ht="13.8" x14ac:dyDescent="0.3">
      <c r="A146" s="76"/>
      <c r="B146" s="97"/>
      <c r="C146" s="96"/>
      <c r="D146" s="91"/>
      <c r="E146" s="90"/>
      <c r="F146" s="76"/>
      <c r="G146" s="94"/>
      <c r="H146" s="80"/>
      <c r="I146" s="76"/>
      <c r="J146" s="76"/>
      <c r="K146" s="76"/>
      <c r="L146" s="30"/>
      <c r="M146" s="27"/>
      <c r="N146" s="27"/>
      <c r="O146" s="27"/>
      <c r="P146" s="27"/>
      <c r="Q146" s="27"/>
      <c r="R146" s="27"/>
      <c r="S146" s="27"/>
      <c r="T146" s="27"/>
      <c r="U146" s="30"/>
      <c r="V146" s="40"/>
      <c r="W146" s="40">
        <v>60</v>
      </c>
      <c r="X146" s="120">
        <f t="shared" si="0"/>
        <v>0.62046806825446799</v>
      </c>
      <c r="Y146" s="120">
        <f xml:space="preserve"> Y125*W146^Y126</f>
        <v>0.56651432318886219</v>
      </c>
      <c r="Z146" s="120">
        <f xml:space="preserve"> Z125*W146^Z126</f>
        <v>0.51256057812325617</v>
      </c>
      <c r="AA146" s="120">
        <f xml:space="preserve"> AA125*W146^AA126</f>
        <v>0.4640022075642109</v>
      </c>
      <c r="AB146" s="120">
        <f xml:space="preserve"> AB125*W146^AB126</f>
        <v>0.41274614975188528</v>
      </c>
      <c r="AC146" s="120">
        <f xml:space="preserve"> AC125*W146^AC126</f>
        <v>0.36149009193955967</v>
      </c>
      <c r="AD146" s="18">
        <v>0.5</v>
      </c>
      <c r="AE146" s="5"/>
      <c r="AF146" s="49">
        <v>0</v>
      </c>
      <c r="AG146" s="49">
        <f>AG145</f>
        <v>0.65809685006484264</v>
      </c>
      <c r="AH146" s="5"/>
      <c r="AI146" s="51"/>
    </row>
    <row r="147" spans="1:35" s="28" customFormat="1" ht="13.8" x14ac:dyDescent="0.3">
      <c r="A147" s="76"/>
      <c r="B147" s="79"/>
      <c r="C147" s="96"/>
      <c r="D147" s="76"/>
      <c r="E147" s="76"/>
      <c r="F147" s="76"/>
      <c r="G147" s="76"/>
      <c r="H147" s="76"/>
      <c r="I147" s="76"/>
      <c r="J147" s="76"/>
      <c r="K147" s="76"/>
      <c r="L147" s="30"/>
      <c r="M147" s="27"/>
      <c r="N147" s="27"/>
      <c r="O147" s="27"/>
      <c r="P147" s="27"/>
      <c r="Q147" s="27"/>
      <c r="R147" s="27"/>
      <c r="S147" s="27"/>
      <c r="T147" s="27"/>
      <c r="U147" s="30"/>
      <c r="V147" s="40"/>
      <c r="W147" s="40">
        <v>67</v>
      </c>
      <c r="X147" s="120">
        <f t="shared" si="0"/>
        <v>0.59894080111790404</v>
      </c>
      <c r="Y147" s="120">
        <f xml:space="preserve"> Y125*W147^Y126</f>
        <v>0.54685899232504287</v>
      </c>
      <c r="Z147" s="120">
        <f xml:space="preserve"> Z125*W147^Z126</f>
        <v>0.49477718353218164</v>
      </c>
      <c r="AA147" s="120">
        <f xml:space="preserve"> AA125*W147^AA126</f>
        <v>0.44790355561860656</v>
      </c>
      <c r="AB147" s="120">
        <f xml:space="preserve"> AB125*W147^AB126</f>
        <v>0.39842583726538838</v>
      </c>
      <c r="AC147" s="120">
        <f xml:space="preserve"> AC125*W147^AC126</f>
        <v>0.34894811891217026</v>
      </c>
      <c r="AD147" s="18">
        <v>0.5</v>
      </c>
      <c r="AE147" s="5"/>
      <c r="AF147" s="5"/>
      <c r="AG147" s="5"/>
      <c r="AH147" s="5"/>
      <c r="AI147" s="51"/>
    </row>
    <row r="148" spans="1:35" s="28" customFormat="1" ht="13.8" x14ac:dyDescent="0.3">
      <c r="A148" s="83"/>
      <c r="B148" s="79"/>
      <c r="C148" s="98"/>
      <c r="D148" s="76"/>
      <c r="E148" s="76"/>
      <c r="F148" s="83"/>
      <c r="G148" s="92"/>
      <c r="H148" s="76"/>
      <c r="I148" s="76"/>
      <c r="J148" s="76"/>
      <c r="K148" s="76"/>
      <c r="L148" s="30"/>
      <c r="M148" s="27"/>
      <c r="N148" s="27"/>
      <c r="O148" s="27"/>
      <c r="P148" s="27"/>
      <c r="Q148" s="27"/>
      <c r="R148" s="27"/>
      <c r="S148" s="27"/>
      <c r="T148" s="27"/>
      <c r="U148" s="30"/>
      <c r="V148" s="40"/>
      <c r="W148" s="40">
        <v>74</v>
      </c>
      <c r="X148" s="120">
        <f t="shared" si="0"/>
        <v>0.58019460439983916</v>
      </c>
      <c r="Y148" s="120">
        <f xml:space="preserve"> Y125*W148^Y126</f>
        <v>0.52974289966941845</v>
      </c>
      <c r="Z148" s="120">
        <f xml:space="preserve"> Z125*W148^Z126</f>
        <v>0.47929119493899758</v>
      </c>
      <c r="AA148" s="120">
        <f xml:space="preserve"> AA125*W148^AA126</f>
        <v>0.43388466068161885</v>
      </c>
      <c r="AB148" s="120">
        <f xml:space="preserve"> AB125*W148^AB126</f>
        <v>0.38595554118771913</v>
      </c>
      <c r="AC148" s="120">
        <f xml:space="preserve"> AC125*W148^AC126</f>
        <v>0.33802642169381936</v>
      </c>
      <c r="AD148" s="18">
        <v>0.5</v>
      </c>
      <c r="AE148" s="5"/>
      <c r="AF148" s="5"/>
      <c r="AG148" s="5"/>
      <c r="AH148" s="5"/>
      <c r="AI148" s="51"/>
    </row>
    <row r="149" spans="1:35" s="28" customFormat="1" ht="13.8" x14ac:dyDescent="0.3">
      <c r="A149" s="76"/>
      <c r="B149" s="28" t="s">
        <v>89</v>
      </c>
      <c r="C149" s="99"/>
      <c r="D149" s="91"/>
      <c r="E149" s="86"/>
      <c r="F149" s="76"/>
      <c r="G149" s="99"/>
      <c r="H149" s="80"/>
      <c r="I149" s="100"/>
      <c r="J149" s="76"/>
      <c r="K149" s="76"/>
      <c r="L149" s="30"/>
      <c r="M149" s="27"/>
      <c r="N149" s="27"/>
      <c r="O149" s="27"/>
      <c r="P149" s="27"/>
      <c r="Q149" s="27"/>
      <c r="R149" s="27"/>
      <c r="S149" s="27"/>
      <c r="T149" s="27"/>
      <c r="U149" s="30"/>
      <c r="V149" s="40"/>
      <c r="W149" s="40">
        <v>85</v>
      </c>
      <c r="X149" s="120">
        <f t="shared" si="0"/>
        <v>0.55502657741845662</v>
      </c>
      <c r="Y149" s="120">
        <f xml:space="preserve"> Y125*W149^Y126</f>
        <v>0.50676339677337356</v>
      </c>
      <c r="Z149" s="120">
        <f xml:space="preserve"> Z125*W149^Z126</f>
        <v>0.45850021612829028</v>
      </c>
      <c r="AA149" s="120">
        <f xml:space="preserve"> AA125*W149^AA126</f>
        <v>0.41506335354771545</v>
      </c>
      <c r="AB149" s="120">
        <f xml:space="preserve"> AB125*W149^AB126</f>
        <v>0.36921333193488642</v>
      </c>
      <c r="AC149" s="120">
        <f xml:space="preserve"> AC125*W149^AC126</f>
        <v>0.3233633103220574</v>
      </c>
      <c r="AD149" s="18">
        <v>0.5</v>
      </c>
      <c r="AE149" s="5"/>
      <c r="AF149" s="5"/>
      <c r="AG149" s="5"/>
      <c r="AH149" s="5"/>
      <c r="AI149" s="5"/>
    </row>
    <row r="150" spans="1:35" s="28" customFormat="1" ht="13.8" x14ac:dyDescent="0.3">
      <c r="A150" s="76"/>
      <c r="B150" s="112" t="s">
        <v>94</v>
      </c>
      <c r="C150" s="116">
        <f>-AF132</f>
        <v>-0.5816914282866803</v>
      </c>
      <c r="D150" s="76"/>
      <c r="E150" s="76"/>
      <c r="F150" s="76"/>
      <c r="G150" s="76"/>
      <c r="H150" s="76"/>
      <c r="I150" s="76"/>
      <c r="J150" s="76"/>
      <c r="K150" s="76"/>
      <c r="L150" s="30"/>
      <c r="M150" s="27"/>
      <c r="N150" s="27"/>
      <c r="O150" s="27"/>
      <c r="P150" s="27"/>
      <c r="Q150" s="27"/>
      <c r="R150" s="27"/>
      <c r="S150" s="27"/>
      <c r="T150" s="27"/>
      <c r="U150" s="30"/>
      <c r="V150" s="40"/>
      <c r="W150" s="40">
        <v>95</v>
      </c>
      <c r="X150" s="120">
        <f t="shared" si="0"/>
        <v>0.53561937985188623</v>
      </c>
      <c r="Y150" s="120">
        <f xml:space="preserve"> Y125*W150^Y126</f>
        <v>0.48904378160389622</v>
      </c>
      <c r="Z150" s="120">
        <f xml:space="preserve"> Z125*W150^Z126</f>
        <v>0.44246818335590604</v>
      </c>
      <c r="AA150" s="120">
        <f xml:space="preserve"> AA125*W150^AA126</f>
        <v>0.40055014493271496</v>
      </c>
      <c r="AB150" s="120">
        <f xml:space="preserve"> AB125*W150^AB126</f>
        <v>0.35630332659712438</v>
      </c>
      <c r="AC150" s="120">
        <f xml:space="preserve"> AC125*W150^AC126</f>
        <v>0.31205650826153375</v>
      </c>
      <c r="AD150" s="18">
        <v>0.5</v>
      </c>
      <c r="AE150" s="5"/>
      <c r="AF150" s="5"/>
      <c r="AG150" s="5"/>
      <c r="AH150" s="51"/>
      <c r="AI150" s="5"/>
    </row>
    <row r="151" spans="1:35" s="28" customFormat="1" ht="13.8" x14ac:dyDescent="0.3">
      <c r="A151" s="76"/>
      <c r="B151" s="79"/>
      <c r="C151" s="128"/>
      <c r="D151" s="76"/>
      <c r="E151" s="76"/>
      <c r="F151" s="85"/>
      <c r="G151" s="76"/>
      <c r="H151" s="76"/>
      <c r="I151" s="85"/>
      <c r="J151" s="76"/>
      <c r="K151" s="76"/>
      <c r="L151" s="30"/>
      <c r="M151" s="27"/>
      <c r="N151" s="27"/>
      <c r="O151" s="27"/>
      <c r="P151" s="27"/>
      <c r="Q151" s="27"/>
      <c r="R151" s="27"/>
      <c r="S151" s="27"/>
      <c r="T151" s="27"/>
      <c r="U151" s="30"/>
      <c r="V151" s="40"/>
      <c r="W151" s="40">
        <v>105</v>
      </c>
      <c r="X151" s="120">
        <f t="shared" si="0"/>
        <v>0.5187370409163693</v>
      </c>
      <c r="Y151" s="120">
        <f xml:space="preserve"> Y125*W151^Y126</f>
        <v>0.4736294721410329</v>
      </c>
      <c r="Z151" s="120">
        <f xml:space="preserve"> Z125*W151^Z126</f>
        <v>0.4285219033656964</v>
      </c>
      <c r="AA151" s="120">
        <f xml:space="preserve"> AA125*W151^AA126</f>
        <v>0.38792509146789361</v>
      </c>
      <c r="AB151" s="120">
        <f xml:space="preserve"> AB125*W151^AB126</f>
        <v>0.34507290113132394</v>
      </c>
      <c r="AC151" s="120">
        <f xml:space="preserve"> AC125*W151^AC126</f>
        <v>0.30222071079475432</v>
      </c>
      <c r="AD151" s="18">
        <v>0.5</v>
      </c>
      <c r="AE151" s="5"/>
      <c r="AF151" s="5"/>
      <c r="AG151" s="5"/>
      <c r="AH151" s="5"/>
      <c r="AI151" s="5"/>
    </row>
    <row r="152" spans="1:35" s="28" customFormat="1" ht="13.8" x14ac:dyDescent="0.3">
      <c r="A152" s="76"/>
      <c r="B152" s="84" t="s">
        <v>90</v>
      </c>
      <c r="C152" s="129"/>
      <c r="D152" s="76"/>
      <c r="E152" s="77"/>
      <c r="F152" s="85"/>
      <c r="G152" s="76"/>
      <c r="H152" s="76"/>
      <c r="I152" s="85"/>
      <c r="J152" s="76"/>
      <c r="K152" s="76"/>
      <c r="L152" s="30"/>
      <c r="M152" s="27"/>
      <c r="N152" s="27"/>
      <c r="O152" s="27"/>
      <c r="P152" s="27"/>
      <c r="Q152" s="27"/>
      <c r="R152" s="27"/>
      <c r="S152" s="27"/>
      <c r="T152" s="27"/>
      <c r="U152" s="30"/>
      <c r="V152" s="40"/>
      <c r="W152" s="40"/>
      <c r="X152" s="30"/>
      <c r="Y152" s="52"/>
      <c r="Z152" s="52"/>
      <c r="AA152" s="52"/>
      <c r="AB152" s="52"/>
      <c r="AC152" s="52"/>
      <c r="AD152" s="5"/>
      <c r="AE152" s="5"/>
      <c r="AF152" s="5"/>
      <c r="AG152" s="5"/>
      <c r="AH152" s="5"/>
      <c r="AI152" s="5"/>
    </row>
    <row r="153" spans="1:35" s="28" customFormat="1" ht="13.8" x14ac:dyDescent="0.3">
      <c r="A153" s="76"/>
      <c r="B153" s="112" t="s">
        <v>94</v>
      </c>
      <c r="C153" s="116">
        <f>-AF138</f>
        <v>-0.65809685006484264</v>
      </c>
      <c r="D153" s="85"/>
      <c r="E153" s="77"/>
      <c r="F153" s="85"/>
      <c r="G153" s="76"/>
      <c r="H153" s="76"/>
      <c r="I153" s="85"/>
      <c r="J153" s="76"/>
      <c r="K153" s="76"/>
      <c r="L153" s="30"/>
      <c r="M153" s="27"/>
      <c r="N153" s="27"/>
      <c r="O153" s="27"/>
      <c r="P153" s="27"/>
      <c r="Q153" s="27"/>
      <c r="R153" s="27"/>
      <c r="S153" s="27"/>
      <c r="T153" s="27"/>
      <c r="U153" s="30"/>
      <c r="V153" s="40"/>
      <c r="W153" s="40"/>
      <c r="X153" s="30"/>
      <c r="Y153" s="52"/>
      <c r="Z153" s="18"/>
      <c r="AA153" s="41"/>
      <c r="AB153" s="5"/>
      <c r="AC153" s="5"/>
      <c r="AD153" s="5"/>
      <c r="AE153" s="5"/>
      <c r="AF153" s="5"/>
      <c r="AG153" s="5"/>
      <c r="AH153" s="5"/>
      <c r="AI153" s="5"/>
    </row>
    <row r="154" spans="1:35" s="28" customFormat="1" ht="13.8" x14ac:dyDescent="0.3">
      <c r="A154" s="76"/>
      <c r="B154" s="103"/>
      <c r="C154" s="85"/>
      <c r="D154" s="85"/>
      <c r="E154" s="77"/>
      <c r="F154" s="85"/>
      <c r="G154" s="76"/>
      <c r="H154" s="76"/>
      <c r="I154" s="85"/>
      <c r="J154" s="76"/>
      <c r="K154" s="76"/>
      <c r="L154" s="30"/>
      <c r="M154" s="27"/>
      <c r="N154" s="27"/>
      <c r="O154" s="27"/>
      <c r="P154" s="27"/>
      <c r="Q154" s="27"/>
      <c r="R154" s="27"/>
      <c r="S154" s="27"/>
      <c r="T154" s="27"/>
      <c r="U154" s="30"/>
      <c r="V154" s="40"/>
      <c r="W154" s="40"/>
      <c r="X154" s="30"/>
      <c r="Y154" s="18"/>
      <c r="Z154" s="51"/>
      <c r="AA154" s="55"/>
      <c r="AB154" s="51"/>
      <c r="AC154" s="5"/>
      <c r="AD154" s="5"/>
      <c r="AE154" s="5"/>
      <c r="AF154" s="5"/>
      <c r="AG154" s="5"/>
      <c r="AH154" s="5"/>
      <c r="AI154" s="5"/>
    </row>
    <row r="155" spans="1:35" s="28" customFormat="1" ht="13.8" x14ac:dyDescent="0.3">
      <c r="A155" s="76"/>
      <c r="B155" s="85"/>
      <c r="C155" s="85"/>
      <c r="D155" s="77"/>
      <c r="E155" s="85"/>
      <c r="F155" s="76"/>
      <c r="G155" s="76"/>
      <c r="H155" s="85"/>
      <c r="I155" s="76"/>
      <c r="J155" s="76"/>
      <c r="K155" s="76"/>
      <c r="L155" s="30"/>
      <c r="M155" s="27"/>
      <c r="N155" s="27"/>
      <c r="O155" s="27"/>
      <c r="P155" s="27"/>
      <c r="Q155" s="27"/>
      <c r="R155" s="27"/>
      <c r="S155" s="27"/>
      <c r="T155" s="27"/>
      <c r="U155" s="30"/>
      <c r="V155" s="40"/>
      <c r="W155" s="40"/>
      <c r="X155" s="30"/>
      <c r="Y155" s="18"/>
      <c r="Z155" s="5"/>
      <c r="AA155" s="41"/>
      <c r="AB155" s="5"/>
      <c r="AC155" s="5"/>
      <c r="AD155" s="5"/>
      <c r="AE155" s="5"/>
      <c r="AF155" s="5"/>
      <c r="AG155" s="5"/>
      <c r="AH155" s="5"/>
      <c r="AI155" s="5"/>
    </row>
    <row r="156" spans="1:35" s="28" customFormat="1" ht="13.8" x14ac:dyDescent="0.3">
      <c r="A156" s="5"/>
      <c r="B156" s="28" t="s">
        <v>89</v>
      </c>
      <c r="C156" s="99"/>
      <c r="D156" s="91"/>
      <c r="E156" s="46"/>
      <c r="F156" s="46"/>
      <c r="G156" s="5"/>
      <c r="H156" s="46"/>
      <c r="I156" s="46"/>
      <c r="J156" s="5"/>
      <c r="K156" s="5"/>
      <c r="L156" s="30"/>
      <c r="M156" s="27"/>
      <c r="N156" s="27"/>
      <c r="O156" s="27"/>
      <c r="P156" s="27"/>
      <c r="Q156" s="27"/>
      <c r="R156" s="27"/>
      <c r="S156" s="27"/>
      <c r="T156" s="27"/>
      <c r="U156" s="30"/>
      <c r="V156" s="40"/>
      <c r="W156" s="40"/>
      <c r="X156" s="30"/>
      <c r="Y156" s="5"/>
      <c r="Z156" s="5"/>
      <c r="AA156" s="5"/>
      <c r="AB156" s="5"/>
      <c r="AC156" s="5"/>
      <c r="AD156" s="5"/>
      <c r="AE156" s="5"/>
      <c r="AF156" s="5"/>
      <c r="AG156" s="5"/>
      <c r="AH156" s="5"/>
      <c r="AI156" s="5"/>
    </row>
    <row r="157" spans="1:35" s="28" customFormat="1" ht="13.8" x14ac:dyDescent="0.3">
      <c r="A157" s="5"/>
      <c r="B157" s="112" t="s">
        <v>55</v>
      </c>
      <c r="C157" s="116">
        <f>C150*C35</f>
        <v>-2.2104274274893849</v>
      </c>
      <c r="D157" s="76"/>
      <c r="E157" s="49"/>
      <c r="F157" s="40"/>
      <c r="G157" s="5"/>
      <c r="H157" s="49"/>
      <c r="I157" s="40"/>
      <c r="J157" s="47"/>
      <c r="K157" s="47"/>
      <c r="L157" s="30"/>
      <c r="M157" s="27"/>
      <c r="N157" s="27"/>
      <c r="O157" s="27"/>
      <c r="P157" s="27"/>
      <c r="Q157" s="27"/>
      <c r="R157" s="27"/>
      <c r="S157" s="27"/>
      <c r="T157" s="27"/>
      <c r="U157" s="30"/>
      <c r="V157" s="40"/>
      <c r="W157" s="40"/>
      <c r="X157" s="30"/>
    </row>
    <row r="158" spans="1:35" s="28" customFormat="1" ht="13.8" x14ac:dyDescent="0.3">
      <c r="A158" s="5"/>
      <c r="B158" s="79"/>
      <c r="C158" s="128"/>
      <c r="D158" s="76"/>
      <c r="E158" s="49"/>
      <c r="F158" s="40"/>
      <c r="G158" s="5"/>
      <c r="H158" s="49"/>
      <c r="I158" s="40"/>
      <c r="J158" s="47"/>
      <c r="K158" s="47"/>
      <c r="L158" s="30"/>
      <c r="M158" s="27"/>
      <c r="N158" s="27"/>
      <c r="O158" s="27"/>
      <c r="P158" s="27"/>
      <c r="Q158" s="27"/>
      <c r="R158" s="27"/>
      <c r="S158" s="27"/>
      <c r="T158" s="27"/>
      <c r="U158" s="30"/>
      <c r="V158" s="40"/>
      <c r="W158" s="40"/>
      <c r="X158" s="30"/>
    </row>
    <row r="159" spans="1:35" s="28" customFormat="1" ht="13.8" x14ac:dyDescent="0.3">
      <c r="A159" s="5"/>
      <c r="B159" s="84" t="s">
        <v>90</v>
      </c>
      <c r="C159" s="129"/>
      <c r="D159" s="76"/>
      <c r="E159" s="49"/>
      <c r="F159" s="40"/>
      <c r="G159" s="5"/>
      <c r="H159" s="49"/>
      <c r="I159" s="40"/>
      <c r="J159" s="47"/>
      <c r="K159" s="47"/>
      <c r="L159" s="30"/>
      <c r="M159" s="27"/>
      <c r="N159" s="27"/>
      <c r="O159" s="27"/>
      <c r="P159" s="27"/>
      <c r="Q159" s="27"/>
      <c r="R159" s="27"/>
      <c r="S159" s="27"/>
      <c r="T159" s="27"/>
      <c r="U159" s="30"/>
      <c r="V159" s="56"/>
      <c r="W159" s="40"/>
      <c r="X159" s="30"/>
    </row>
    <row r="160" spans="1:35" s="28" customFormat="1" ht="13.8" x14ac:dyDescent="0.3">
      <c r="A160" s="5"/>
      <c r="B160" s="112" t="s">
        <v>55</v>
      </c>
      <c r="C160" s="116">
        <f>C153*C35</f>
        <v>-2.5007680302464017</v>
      </c>
      <c r="D160" s="85"/>
      <c r="E160" s="49"/>
      <c r="F160" s="40"/>
      <c r="G160" s="5"/>
      <c r="H160" s="49"/>
      <c r="I160" s="40"/>
      <c r="J160" s="47"/>
      <c r="K160" s="47"/>
      <c r="L160" s="30"/>
      <c r="M160" s="27"/>
      <c r="N160" s="27"/>
      <c r="O160" s="27"/>
      <c r="P160" s="27"/>
      <c r="Q160" s="27"/>
      <c r="R160" s="27"/>
      <c r="S160" s="27"/>
      <c r="T160" s="27"/>
      <c r="U160" s="30"/>
      <c r="V160" s="5"/>
      <c r="W160" s="5"/>
      <c r="X160" s="30"/>
    </row>
    <row r="161" spans="1:46" s="28" customFormat="1" ht="13.8" x14ac:dyDescent="0.3">
      <c r="A161" s="58"/>
      <c r="B161" s="59"/>
      <c r="C161" s="60"/>
      <c r="D161" s="58"/>
      <c r="E161" s="58"/>
      <c r="F161" s="58"/>
      <c r="G161" s="60"/>
      <c r="H161" s="58"/>
      <c r="I161" s="58"/>
      <c r="J161" s="58"/>
      <c r="K161" s="58"/>
      <c r="L161" s="30"/>
      <c r="M161" s="27"/>
      <c r="N161" s="27"/>
      <c r="O161" s="27"/>
      <c r="P161" s="27"/>
      <c r="Q161" s="27"/>
      <c r="R161" s="27"/>
      <c r="S161" s="27"/>
      <c r="T161" s="27"/>
      <c r="U161" s="30"/>
      <c r="V161" s="30"/>
      <c r="W161" s="30"/>
      <c r="X161" s="30"/>
    </row>
    <row r="162" spans="1:46" s="28" customFormat="1" ht="13.8" x14ac:dyDescent="0.3">
      <c r="A162" s="58"/>
      <c r="B162" s="61"/>
      <c r="C162" s="60"/>
      <c r="D162" s="62"/>
      <c r="E162" s="62"/>
      <c r="F162" s="63" t="s">
        <v>35</v>
      </c>
      <c r="G162" s="60"/>
      <c r="H162" s="62"/>
      <c r="I162" s="62"/>
      <c r="J162" s="62"/>
      <c r="K162" s="58"/>
      <c r="L162" s="30"/>
      <c r="M162" s="27"/>
      <c r="N162" s="27"/>
      <c r="O162" s="27"/>
      <c r="P162" s="27"/>
      <c r="Q162" s="27"/>
      <c r="R162" s="27"/>
      <c r="S162" s="27"/>
      <c r="T162" s="27"/>
      <c r="U162" s="30"/>
      <c r="V162" s="5"/>
      <c r="W162" s="5"/>
      <c r="X162" s="5"/>
      <c r="Y162" s="5"/>
      <c r="Z162" s="5"/>
      <c r="AA162" s="5"/>
      <c r="AB162" s="5"/>
      <c r="AC162" s="5"/>
      <c r="AD162" s="5"/>
      <c r="AE162" s="5"/>
      <c r="AF162" s="5"/>
      <c r="AG162" s="5"/>
      <c r="AH162" s="5"/>
      <c r="AI162" s="5"/>
      <c r="AJ162" s="5"/>
    </row>
    <row r="163" spans="1:46" s="28" customFormat="1" ht="13.8" x14ac:dyDescent="0.3">
      <c r="A163" s="58"/>
      <c r="B163" s="62"/>
      <c r="C163" s="62"/>
      <c r="D163" s="62"/>
      <c r="E163" s="62"/>
      <c r="F163" s="149" t="s">
        <v>118</v>
      </c>
      <c r="G163" s="62"/>
      <c r="H163" s="62"/>
      <c r="I163" s="62"/>
      <c r="J163" s="62"/>
      <c r="K163" s="58"/>
      <c r="L163" s="30"/>
      <c r="M163" s="27"/>
      <c r="N163" s="27"/>
      <c r="O163" s="27"/>
      <c r="P163" s="27"/>
      <c r="Q163" s="27"/>
      <c r="R163" s="27"/>
      <c r="S163" s="27"/>
      <c r="T163" s="27"/>
      <c r="U163" s="30"/>
    </row>
    <row r="164" spans="1:46" s="5" customFormat="1" ht="13.8" x14ac:dyDescent="0.3">
      <c r="A164" s="14"/>
      <c r="E164" s="7" t="s">
        <v>1</v>
      </c>
      <c r="F164" s="8" t="str">
        <f>$C$1</f>
        <v>R. Abbott</v>
      </c>
      <c r="H164" s="15"/>
      <c r="I164" s="7" t="s">
        <v>8</v>
      </c>
      <c r="J164" s="16" t="str">
        <f>$G$2</f>
        <v>AA-SM-515</v>
      </c>
      <c r="K164" s="17"/>
      <c r="L164" s="18"/>
      <c r="M164" s="9"/>
      <c r="N164" s="9"/>
      <c r="O164" s="9"/>
      <c r="P164" s="9"/>
      <c r="Q164" s="11"/>
      <c r="R164" s="12"/>
      <c r="S164" s="36"/>
      <c r="T164" s="35"/>
      <c r="AH164" s="26"/>
      <c r="AI164" s="26"/>
      <c r="AJ164" s="26"/>
    </row>
    <row r="165" spans="1:46" s="5" customFormat="1" ht="13.8" x14ac:dyDescent="0.3">
      <c r="E165" s="7" t="s">
        <v>2</v>
      </c>
      <c r="F165" s="15" t="str">
        <f>$C$2</f>
        <v xml:space="preserve"> </v>
      </c>
      <c r="H165" s="15"/>
      <c r="I165" s="7" t="s">
        <v>9</v>
      </c>
      <c r="J165" s="17" t="str">
        <f>$G$3</f>
        <v>IR</v>
      </c>
      <c r="K165" s="17"/>
      <c r="L165" s="18"/>
      <c r="M165" s="9">
        <v>1</v>
      </c>
      <c r="N165" s="9"/>
      <c r="O165" s="9"/>
      <c r="P165" s="9"/>
      <c r="Q165" s="11"/>
      <c r="R165" s="12"/>
      <c r="S165" s="36"/>
      <c r="T165" s="35"/>
      <c r="AH165" s="130"/>
      <c r="AI165" s="130"/>
      <c r="AJ165" s="130"/>
    </row>
    <row r="166" spans="1:46" s="5" customFormat="1" ht="13.8" x14ac:dyDescent="0.3">
      <c r="E166" s="7" t="s">
        <v>3</v>
      </c>
      <c r="F166" s="15" t="str">
        <f>$C$3</f>
        <v>20/10/2013</v>
      </c>
      <c r="H166" s="15"/>
      <c r="I166" s="7" t="s">
        <v>6</v>
      </c>
      <c r="J166" s="8" t="str">
        <f>L166&amp;" of "&amp;$G$1</f>
        <v>4 of 6</v>
      </c>
      <c r="K166" s="15"/>
      <c r="L166" s="18">
        <f>SUM($M$1:M165)</f>
        <v>4</v>
      </c>
      <c r="M166" s="9"/>
      <c r="N166" s="9"/>
      <c r="O166" s="9"/>
      <c r="P166" s="9"/>
      <c r="Q166" s="11"/>
      <c r="R166" s="12"/>
      <c r="S166" s="36"/>
      <c r="T166" s="35"/>
      <c r="AH166" s="130"/>
      <c r="AI166" s="130"/>
      <c r="AJ166" s="130"/>
    </row>
    <row r="167" spans="1:46" s="5" customFormat="1" ht="13.8" x14ac:dyDescent="0.3">
      <c r="A167" s="26"/>
      <c r="B167" s="26"/>
      <c r="C167" s="26"/>
      <c r="D167" s="26"/>
      <c r="E167" s="7" t="s">
        <v>30</v>
      </c>
      <c r="F167" s="15" t="str">
        <f>$C$5</f>
        <v>STANDARD SPREADSHEET METHOD</v>
      </c>
      <c r="I167" s="19"/>
      <c r="J167" s="8"/>
      <c r="M167" s="9"/>
      <c r="N167" s="9"/>
      <c r="O167" s="9"/>
      <c r="P167" s="9"/>
      <c r="Q167" s="9"/>
      <c r="R167" s="9"/>
      <c r="S167" s="34"/>
      <c r="T167" s="35"/>
      <c r="AH167" s="130"/>
      <c r="AI167" s="130"/>
      <c r="AJ167" s="130"/>
    </row>
    <row r="168" spans="1:46" s="28" customFormat="1" x14ac:dyDescent="0.3">
      <c r="A168" s="73"/>
      <c r="B168" s="21" t="str">
        <f>$G$4</f>
        <v>SIMPLIFIED PART 23 AIRCRAFT LOADS</v>
      </c>
      <c r="C168" s="74"/>
      <c r="D168" s="74"/>
      <c r="E168" s="75"/>
      <c r="F168" s="74"/>
      <c r="G168" s="74"/>
      <c r="H168" s="74"/>
      <c r="I168" s="74"/>
      <c r="J168" s="74"/>
      <c r="K168" s="74"/>
      <c r="L168" s="30"/>
      <c r="M168" s="37"/>
      <c r="N168" s="38"/>
      <c r="O168" s="38"/>
      <c r="P168" s="38"/>
      <c r="Q168" s="38"/>
      <c r="R168" s="37"/>
      <c r="S168" s="37"/>
      <c r="T168" s="39"/>
      <c r="AH168" s="130"/>
      <c r="AI168" s="130"/>
      <c r="AJ168" s="130"/>
    </row>
    <row r="169" spans="1:46" s="26" customFormat="1" ht="13.8" x14ac:dyDescent="0.3">
      <c r="A169" s="76"/>
      <c r="B169" s="76" t="s">
        <v>50</v>
      </c>
      <c r="C169" s="76"/>
      <c r="D169" s="76"/>
      <c r="E169" s="76"/>
      <c r="F169" s="76"/>
      <c r="G169" s="76"/>
      <c r="H169" s="76"/>
      <c r="I169" s="76"/>
      <c r="J169" s="76"/>
      <c r="K169" s="76"/>
      <c r="L169" s="29"/>
      <c r="M169" s="37"/>
      <c r="N169" s="38"/>
      <c r="O169" s="38"/>
      <c r="P169" s="38"/>
      <c r="Q169" s="38"/>
      <c r="R169" s="37"/>
      <c r="S169" s="37"/>
      <c r="T169" s="39"/>
      <c r="AH169" s="130"/>
      <c r="AI169" s="130"/>
      <c r="AJ169" s="130"/>
    </row>
    <row r="170" spans="1:46" s="130" customFormat="1" ht="13.8" x14ac:dyDescent="0.3">
      <c r="B170" s="123" t="s">
        <v>103</v>
      </c>
      <c r="M170" s="37"/>
      <c r="N170" s="38"/>
      <c r="O170" s="38"/>
      <c r="P170" s="38"/>
      <c r="Q170" s="38"/>
      <c r="R170" s="37"/>
      <c r="S170" s="37"/>
      <c r="T170" s="39"/>
      <c r="V170" s="130">
        <f>C17</f>
        <v>2500</v>
      </c>
      <c r="W170" s="130">
        <v>61</v>
      </c>
    </row>
    <row r="171" spans="1:46" s="130" customFormat="1" ht="13.8" x14ac:dyDescent="0.3">
      <c r="M171" s="37"/>
      <c r="N171" s="38"/>
      <c r="O171" s="38"/>
      <c r="P171" s="38"/>
      <c r="Q171" s="38"/>
      <c r="R171" s="37"/>
      <c r="S171" s="37"/>
      <c r="T171" s="39"/>
      <c r="AJ171" s="135">
        <f>AN171</f>
        <v>120</v>
      </c>
      <c r="AK171" s="130">
        <f t="shared" ref="AK171:AK187" si="1">(($V$170*AL171)/(0.00237*-1.35*$C$18))^0.5</f>
        <v>86.810575329453073</v>
      </c>
      <c r="AL171" s="130">
        <f>AT185</f>
        <v>-1.9</v>
      </c>
      <c r="AN171" s="135">
        <f>AT172</f>
        <v>120</v>
      </c>
      <c r="AO171" s="130">
        <f>'[2]Wing Loads'!E19</f>
        <v>3.8</v>
      </c>
    </row>
    <row r="172" spans="1:46" s="130" customFormat="1" ht="13.5" customHeight="1" x14ac:dyDescent="0.3">
      <c r="M172" s="37"/>
      <c r="N172" s="38"/>
      <c r="O172" s="38"/>
      <c r="P172" s="38"/>
      <c r="Q172" s="38"/>
      <c r="R172" s="37"/>
      <c r="S172" s="37"/>
      <c r="T172" s="39"/>
      <c r="V172" s="28"/>
      <c r="W172" s="28"/>
      <c r="X172" s="28"/>
      <c r="Y172" s="28"/>
      <c r="Z172" s="28"/>
      <c r="AA172" s="28"/>
      <c r="AB172" s="28"/>
      <c r="AC172" s="28"/>
      <c r="AD172" s="28"/>
      <c r="AE172" s="28"/>
      <c r="AF172" s="28"/>
      <c r="AG172" s="28"/>
      <c r="AJ172" s="130">
        <f t="shared" ref="AJ172:AJ186" si="2">$AJ$171*AK172/$AK$171</f>
        <v>114.41551070947108</v>
      </c>
      <c r="AK172" s="130">
        <f t="shared" si="1"/>
        <v>82.770635927519862</v>
      </c>
      <c r="AL172" s="130">
        <f>AL171/1.1</f>
        <v>-1.7272727272727271</v>
      </c>
      <c r="AN172" s="130">
        <f t="shared" ref="AN172:AN186" si="3">$W$170*(AO172^0.5)*$AT$172/($W$170*$C$35^0.5)</f>
        <v>114.41551070947108</v>
      </c>
      <c r="AO172" s="130">
        <f>AO171/1.1</f>
        <v>3.4545454545454541</v>
      </c>
      <c r="AR172" s="133" t="s">
        <v>102</v>
      </c>
      <c r="AS172" s="133" t="s">
        <v>96</v>
      </c>
      <c r="AT172" s="135">
        <f>F43</f>
        <v>120</v>
      </c>
    </row>
    <row r="173" spans="1:46" s="130" customFormat="1" ht="13.8" x14ac:dyDescent="0.3">
      <c r="M173" s="37"/>
      <c r="N173" s="38"/>
      <c r="O173" s="38"/>
      <c r="P173" s="38"/>
      <c r="Q173" s="38"/>
      <c r="R173" s="37"/>
      <c r="S173" s="37"/>
      <c r="T173" s="39"/>
      <c r="V173" s="26"/>
      <c r="W173" s="26"/>
      <c r="X173" s="26"/>
      <c r="Y173" s="26"/>
      <c r="Z173" s="26"/>
      <c r="AA173" s="26"/>
      <c r="AB173" s="26"/>
      <c r="AC173" s="26"/>
      <c r="AD173" s="26"/>
      <c r="AE173" s="26"/>
      <c r="AF173" s="26"/>
      <c r="AG173" s="26"/>
      <c r="AJ173" s="130">
        <f t="shared" si="2"/>
        <v>104.4465935734187</v>
      </c>
      <c r="AK173" s="130">
        <f t="shared" si="1"/>
        <v>75.558907327583611</v>
      </c>
      <c r="AL173" s="130">
        <f>AL172/1.2</f>
        <v>-1.4393939393939392</v>
      </c>
      <c r="AN173" s="130">
        <f t="shared" si="3"/>
        <v>104.4465935734187</v>
      </c>
      <c r="AO173" s="130">
        <f>AO172/1.2</f>
        <v>2.8787878787878785</v>
      </c>
      <c r="AR173" s="133"/>
      <c r="AS173" s="133" t="s">
        <v>95</v>
      </c>
      <c r="AT173" s="130">
        <f>C35</f>
        <v>3.8</v>
      </c>
    </row>
    <row r="174" spans="1:46" s="130" customFormat="1" ht="13.8" x14ac:dyDescent="0.3">
      <c r="M174" s="37"/>
      <c r="N174" s="38"/>
      <c r="O174" s="38"/>
      <c r="P174" s="38"/>
      <c r="Q174" s="38"/>
      <c r="R174" s="37"/>
      <c r="S174" s="37"/>
      <c r="T174" s="39"/>
      <c r="AJ174" s="130">
        <f t="shared" si="2"/>
        <v>91.605722482868885</v>
      </c>
      <c r="AK174" s="130">
        <f t="shared" si="1"/>
        <v>66.269545601733853</v>
      </c>
      <c r="AL174" s="130">
        <f>AL173/1.3</f>
        <v>-1.1072261072261071</v>
      </c>
      <c r="AN174" s="130">
        <f t="shared" si="3"/>
        <v>91.605722482868885</v>
      </c>
      <c r="AO174" s="130">
        <f>AO173/1.3</f>
        <v>2.2144522144522143</v>
      </c>
      <c r="AR174" s="133"/>
      <c r="AS174" s="133"/>
    </row>
    <row r="175" spans="1:46" s="130" customFormat="1" ht="13.8" x14ac:dyDescent="0.3">
      <c r="M175" s="37"/>
      <c r="N175" s="38"/>
      <c r="O175" s="38"/>
      <c r="P175" s="38"/>
      <c r="Q175" s="38"/>
      <c r="R175" s="37"/>
      <c r="S175" s="37"/>
      <c r="T175" s="39"/>
      <c r="W175" s="130">
        <v>0</v>
      </c>
      <c r="X175" s="130">
        <v>1</v>
      </c>
      <c r="Y175" s="130">
        <v>1</v>
      </c>
      <c r="Z175" s="130">
        <v>1</v>
      </c>
      <c r="AA175" s="130">
        <v>1</v>
      </c>
      <c r="AJ175" s="130">
        <f t="shared" si="2"/>
        <v>77.420966113876361</v>
      </c>
      <c r="AK175" s="130">
        <f t="shared" si="1"/>
        <v>56.007988424230817</v>
      </c>
      <c r="AL175" s="130">
        <f>AL174/1.4</f>
        <v>-0.79087579087579085</v>
      </c>
      <c r="AN175" s="130">
        <f t="shared" si="3"/>
        <v>77.420966113876389</v>
      </c>
      <c r="AO175" s="130">
        <f>AO174/1.4</f>
        <v>1.5817515817515817</v>
      </c>
      <c r="AR175" s="133" t="s">
        <v>101</v>
      </c>
      <c r="AS175" s="133" t="s">
        <v>96</v>
      </c>
      <c r="AT175" s="135">
        <f>F49</f>
        <v>190</v>
      </c>
    </row>
    <row r="176" spans="1:46" s="130" customFormat="1" ht="13.8" x14ac:dyDescent="0.3">
      <c r="F176" s="131"/>
      <c r="G176" s="131"/>
      <c r="M176" s="37"/>
      <c r="N176" s="38"/>
      <c r="O176" s="38"/>
      <c r="P176" s="38"/>
      <c r="Q176" s="38"/>
      <c r="R176" s="37"/>
      <c r="S176" s="37"/>
      <c r="T176" s="39"/>
      <c r="W176" s="135">
        <f>AG177</f>
        <v>120</v>
      </c>
      <c r="X176" s="136">
        <f>AH177</f>
        <v>3.8</v>
      </c>
      <c r="Y176" s="136">
        <f>AT185</f>
        <v>-1.9</v>
      </c>
      <c r="AD176" s="135">
        <f>AT172</f>
        <v>120</v>
      </c>
      <c r="AE176" s="130">
        <f>AT173</f>
        <v>3.8</v>
      </c>
      <c r="AJ176" s="130">
        <f t="shared" si="2"/>
        <v>63.213954124101384</v>
      </c>
      <c r="AK176" s="130">
        <f t="shared" si="1"/>
        <v>45.730331053024116</v>
      </c>
      <c r="AL176" s="130">
        <f>AL175/1.5</f>
        <v>-0.52725052725052723</v>
      </c>
      <c r="AN176" s="130">
        <f t="shared" si="3"/>
        <v>63.213954124101392</v>
      </c>
      <c r="AO176" s="130">
        <f>AO175/1.5</f>
        <v>1.0545010545010545</v>
      </c>
      <c r="AR176" s="133"/>
      <c r="AS176" s="133" t="s">
        <v>95</v>
      </c>
      <c r="AT176" s="136">
        <f>AT173</f>
        <v>3.8</v>
      </c>
    </row>
    <row r="177" spans="2:46" s="130" customFormat="1" ht="13.8" x14ac:dyDescent="0.3">
      <c r="F177" s="131"/>
      <c r="M177" s="37"/>
      <c r="N177" s="38"/>
      <c r="O177" s="38"/>
      <c r="P177" s="38"/>
      <c r="Q177" s="38"/>
      <c r="R177" s="37"/>
      <c r="S177" s="37"/>
      <c r="T177" s="39"/>
      <c r="AD177" s="135">
        <f>AT188</f>
        <v>160</v>
      </c>
      <c r="AE177" s="136">
        <f>AT189</f>
        <v>4.1446586566634815</v>
      </c>
      <c r="AG177" s="135">
        <f>AD176</f>
        <v>120</v>
      </c>
      <c r="AH177" s="136">
        <f>AE176</f>
        <v>3.8</v>
      </c>
      <c r="AJ177" s="130">
        <f t="shared" si="2"/>
        <v>49.975018734388655</v>
      </c>
      <c r="AK177" s="130">
        <f t="shared" si="1"/>
        <v>36.153001070270626</v>
      </c>
      <c r="AL177" s="130">
        <f>AL176/1.6</f>
        <v>-0.32953157953157952</v>
      </c>
      <c r="AN177" s="130">
        <f t="shared" si="3"/>
        <v>49.975018734388655</v>
      </c>
      <c r="AO177" s="130">
        <f>AO176/1.6</f>
        <v>0.65906315906315904</v>
      </c>
      <c r="AR177" s="133"/>
      <c r="AS177" s="133"/>
    </row>
    <row r="178" spans="2:46" s="130" customFormat="1" ht="13.8" x14ac:dyDescent="0.3">
      <c r="F178" s="131"/>
      <c r="M178" s="37"/>
      <c r="N178" s="38"/>
      <c r="O178" s="38"/>
      <c r="P178" s="38"/>
      <c r="Q178" s="38"/>
      <c r="R178" s="37"/>
      <c r="S178" s="37"/>
      <c r="T178" s="39"/>
      <c r="AD178" s="135">
        <f>AT175</f>
        <v>190</v>
      </c>
      <c r="AE178" s="136">
        <f>AT176</f>
        <v>3.8</v>
      </c>
      <c r="AG178" s="135">
        <f>AD178</f>
        <v>190</v>
      </c>
      <c r="AH178" s="136">
        <f>AH177</f>
        <v>3.8</v>
      </c>
      <c r="AJ178" s="130">
        <f t="shared" si="2"/>
        <v>47.649310760087197</v>
      </c>
      <c r="AK178" s="130">
        <f t="shared" si="1"/>
        <v>34.470534009458902</v>
      </c>
      <c r="AL178" s="130">
        <f>AL177/1.1</f>
        <v>-0.29957416321052682</v>
      </c>
      <c r="AN178" s="130">
        <f t="shared" si="3"/>
        <v>47.649310760087197</v>
      </c>
      <c r="AO178" s="130">
        <f>AO177/1.1</f>
        <v>0.59914832642105365</v>
      </c>
      <c r="AR178" s="133" t="s">
        <v>100</v>
      </c>
      <c r="AS178" s="133" t="s">
        <v>96</v>
      </c>
      <c r="AT178" s="135">
        <f>AT175</f>
        <v>190</v>
      </c>
    </row>
    <row r="179" spans="2:46" s="130" customFormat="1" ht="13.8" x14ac:dyDescent="0.3">
      <c r="F179" s="131"/>
      <c r="M179" s="37"/>
      <c r="N179" s="38"/>
      <c r="O179" s="38"/>
      <c r="P179" s="38"/>
      <c r="Q179" s="38"/>
      <c r="R179" s="37"/>
      <c r="S179" s="37"/>
      <c r="T179" s="39"/>
      <c r="W179" s="130">
        <v>0</v>
      </c>
      <c r="Z179" s="130">
        <v>1</v>
      </c>
      <c r="AA179" s="130">
        <v>1</v>
      </c>
      <c r="AD179" s="135">
        <f>AD178</f>
        <v>190</v>
      </c>
      <c r="AE179" s="136">
        <f>AT179</f>
        <v>-1.9</v>
      </c>
      <c r="AG179" s="135"/>
      <c r="AH179" s="137"/>
      <c r="AJ179" s="130">
        <f t="shared" si="2"/>
        <v>35.515699313522376</v>
      </c>
      <c r="AK179" s="130">
        <f t="shared" si="1"/>
        <v>25.692819088622826</v>
      </c>
      <c r="AL179" s="130">
        <f>AL178/1.8</f>
        <v>-0.16643009067251491</v>
      </c>
      <c r="AN179" s="130">
        <f t="shared" si="3"/>
        <v>35.515699313522383</v>
      </c>
      <c r="AO179" s="130">
        <f>AO178/1.8</f>
        <v>0.33286018134502982</v>
      </c>
      <c r="AR179" s="133"/>
      <c r="AS179" s="133" t="s">
        <v>95</v>
      </c>
      <c r="AT179" s="136">
        <f>C36</f>
        <v>-1.9</v>
      </c>
    </row>
    <row r="180" spans="2:46" s="130" customFormat="1" ht="13.8" x14ac:dyDescent="0.3">
      <c r="E180" s="132"/>
      <c r="M180" s="37"/>
      <c r="N180" s="38"/>
      <c r="O180" s="38"/>
      <c r="P180" s="38"/>
      <c r="Q180" s="38"/>
      <c r="R180" s="37"/>
      <c r="S180" s="37"/>
      <c r="T180" s="39"/>
      <c r="W180" s="135">
        <f>AT175</f>
        <v>190</v>
      </c>
      <c r="Z180" s="136">
        <f>AH178</f>
        <v>3.8</v>
      </c>
      <c r="AA180" s="136">
        <f>AT185</f>
        <v>-1.9</v>
      </c>
      <c r="AD180" s="135">
        <f>AT181</f>
        <v>160</v>
      </c>
      <c r="AE180" s="136">
        <f>AT182</f>
        <v>-2.2104274274893849</v>
      </c>
      <c r="AG180" s="135">
        <f>AG177</f>
        <v>120</v>
      </c>
      <c r="AH180" s="136">
        <f>AT185</f>
        <v>-1.9</v>
      </c>
      <c r="AJ180" s="130">
        <f t="shared" si="2"/>
        <v>25.765796358008931</v>
      </c>
      <c r="AK180" s="130">
        <f t="shared" si="1"/>
        <v>18.639530047169018</v>
      </c>
      <c r="AL180" s="130">
        <f>AL179/1.9</f>
        <v>-8.759478456448154E-2</v>
      </c>
      <c r="AN180" s="130">
        <f t="shared" si="3"/>
        <v>25.765796358008934</v>
      </c>
      <c r="AO180" s="130">
        <f>AO179/1.9</f>
        <v>0.17518956912896308</v>
      </c>
      <c r="AR180" s="133"/>
      <c r="AS180" s="133"/>
    </row>
    <row r="181" spans="2:46" s="130" customFormat="1" ht="13.8" x14ac:dyDescent="0.3">
      <c r="M181" s="37"/>
      <c r="N181" s="38"/>
      <c r="O181" s="38"/>
      <c r="P181" s="38"/>
      <c r="Q181" s="38"/>
      <c r="R181" s="37"/>
      <c r="S181" s="37"/>
      <c r="T181" s="39"/>
      <c r="AD181" s="135">
        <f>AT184</f>
        <v>120</v>
      </c>
      <c r="AE181" s="136">
        <f>AT185</f>
        <v>-1.9</v>
      </c>
      <c r="AG181" s="135">
        <f>AG178</f>
        <v>190</v>
      </c>
      <c r="AH181" s="136">
        <f>AH180</f>
        <v>-1.9</v>
      </c>
      <c r="AJ181" s="130">
        <f t="shared" si="2"/>
        <v>18.219169327419767</v>
      </c>
      <c r="AK181" s="130">
        <f t="shared" si="1"/>
        <v>13.18013809448362</v>
      </c>
      <c r="AL181" s="130">
        <f t="shared" ref="AL181:AL186" si="4">AL180/2</f>
        <v>-4.379739228224077E-2</v>
      </c>
      <c r="AN181" s="130">
        <f t="shared" si="3"/>
        <v>18.219169327419767</v>
      </c>
      <c r="AO181" s="130">
        <f t="shared" ref="AO181:AO186" si="5">AO180/2</f>
        <v>8.759478456448154E-2</v>
      </c>
      <c r="AR181" s="133" t="s">
        <v>99</v>
      </c>
      <c r="AS181" s="133" t="s">
        <v>96</v>
      </c>
      <c r="AT181" s="135">
        <f>F46</f>
        <v>160</v>
      </c>
    </row>
    <row r="182" spans="2:46" s="130" customFormat="1" ht="13.8" x14ac:dyDescent="0.3">
      <c r="M182" s="37"/>
      <c r="N182" s="38"/>
      <c r="O182" s="38"/>
      <c r="P182" s="38"/>
      <c r="Q182" s="38"/>
      <c r="R182" s="37"/>
      <c r="S182" s="37"/>
      <c r="T182" s="39"/>
      <c r="AJ182" s="130">
        <f t="shared" si="2"/>
        <v>12.882898179004465</v>
      </c>
      <c r="AK182" s="130">
        <f t="shared" si="1"/>
        <v>9.3197650235845089</v>
      </c>
      <c r="AL182" s="130">
        <f t="shared" si="4"/>
        <v>-2.1898696141120385E-2</v>
      </c>
      <c r="AN182" s="130">
        <f t="shared" si="3"/>
        <v>12.882898179004467</v>
      </c>
      <c r="AO182" s="130">
        <f t="shared" si="5"/>
        <v>4.379739228224077E-2</v>
      </c>
      <c r="AR182" s="133"/>
      <c r="AS182" s="133" t="s">
        <v>95</v>
      </c>
      <c r="AT182" s="136">
        <f>C157</f>
        <v>-2.2104274274893849</v>
      </c>
    </row>
    <row r="183" spans="2:46" s="130" customFormat="1" ht="13.8" x14ac:dyDescent="0.3">
      <c r="M183" s="37"/>
      <c r="N183" s="38"/>
      <c r="O183" s="38"/>
      <c r="P183" s="38"/>
      <c r="Q183" s="38"/>
      <c r="R183" s="37"/>
      <c r="S183" s="37"/>
      <c r="T183" s="39"/>
      <c r="AG183" s="135">
        <f>AT172</f>
        <v>120</v>
      </c>
      <c r="AH183" s="130">
        <f>AT173*1.1</f>
        <v>4.18</v>
      </c>
      <c r="AJ183" s="130">
        <f t="shared" si="2"/>
        <v>9.1095846637098834</v>
      </c>
      <c r="AK183" s="130">
        <f t="shared" si="1"/>
        <v>6.5900690472418102</v>
      </c>
      <c r="AL183" s="130">
        <f t="shared" si="4"/>
        <v>-1.0949348070560192E-2</v>
      </c>
      <c r="AN183" s="130">
        <f t="shared" si="3"/>
        <v>9.1095846637098834</v>
      </c>
      <c r="AO183" s="130">
        <f t="shared" si="5"/>
        <v>2.1898696141120385E-2</v>
      </c>
      <c r="AR183" s="133"/>
      <c r="AS183" s="133"/>
    </row>
    <row r="184" spans="2:46" s="130" customFormat="1" ht="13.8" x14ac:dyDescent="0.3">
      <c r="F184" s="131"/>
      <c r="M184" s="37"/>
      <c r="N184" s="38"/>
      <c r="O184" s="38"/>
      <c r="P184" s="38"/>
      <c r="Q184" s="38"/>
      <c r="R184" s="37"/>
      <c r="S184" s="37"/>
      <c r="T184" s="39"/>
      <c r="AG184" s="135">
        <f>AG183</f>
        <v>120</v>
      </c>
      <c r="AH184" s="130">
        <f>AT185*1.1</f>
        <v>-2.09</v>
      </c>
      <c r="AJ184" s="130">
        <f t="shared" si="2"/>
        <v>6.4414490895022327</v>
      </c>
      <c r="AK184" s="130">
        <f t="shared" si="1"/>
        <v>4.6598825117922544</v>
      </c>
      <c r="AL184" s="130">
        <f t="shared" si="4"/>
        <v>-5.4746740352800962E-3</v>
      </c>
      <c r="AN184" s="130">
        <f t="shared" si="3"/>
        <v>6.4414490895022336</v>
      </c>
      <c r="AO184" s="130">
        <f t="shared" si="5"/>
        <v>1.0949348070560192E-2</v>
      </c>
      <c r="AR184" s="133" t="s">
        <v>98</v>
      </c>
      <c r="AS184" s="133" t="s">
        <v>96</v>
      </c>
      <c r="AT184" s="135">
        <f>AT172</f>
        <v>120</v>
      </c>
    </row>
    <row r="185" spans="2:46" s="130" customFormat="1" ht="13.8" x14ac:dyDescent="0.3">
      <c r="F185" s="131"/>
      <c r="M185" s="37"/>
      <c r="N185" s="38"/>
      <c r="O185" s="38"/>
      <c r="P185" s="38"/>
      <c r="Q185" s="38"/>
      <c r="R185" s="37"/>
      <c r="S185" s="37"/>
      <c r="T185" s="39"/>
      <c r="AJ185" s="130">
        <f t="shared" si="2"/>
        <v>4.5547923318549417</v>
      </c>
      <c r="AK185" s="130">
        <f t="shared" si="1"/>
        <v>3.2950345236209051</v>
      </c>
      <c r="AL185" s="130">
        <f t="shared" si="4"/>
        <v>-2.7373370176400481E-3</v>
      </c>
      <c r="AN185" s="130">
        <f t="shared" si="3"/>
        <v>4.5547923318549417</v>
      </c>
      <c r="AO185" s="130">
        <f t="shared" si="5"/>
        <v>5.4746740352800962E-3</v>
      </c>
      <c r="AS185" s="133" t="s">
        <v>95</v>
      </c>
      <c r="AT185" s="130">
        <f>C36</f>
        <v>-1.9</v>
      </c>
    </row>
    <row r="186" spans="2:46" s="130" customFormat="1" ht="13.8" x14ac:dyDescent="0.3">
      <c r="F186" s="131"/>
      <c r="M186" s="37"/>
      <c r="N186" s="38"/>
      <c r="O186" s="38"/>
      <c r="P186" s="38"/>
      <c r="Q186" s="38"/>
      <c r="R186" s="37"/>
      <c r="S186" s="37"/>
      <c r="T186" s="39"/>
      <c r="AG186" s="135">
        <f>AT181</f>
        <v>160</v>
      </c>
      <c r="AH186" s="130">
        <f>AT189*1.1</f>
        <v>4.5591245223298298</v>
      </c>
      <c r="AJ186" s="130">
        <f t="shared" si="2"/>
        <v>3.2207245447511164</v>
      </c>
      <c r="AK186" s="130">
        <f t="shared" si="1"/>
        <v>2.3299412558961272</v>
      </c>
      <c r="AL186" s="130">
        <f t="shared" si="4"/>
        <v>-1.3686685088200241E-3</v>
      </c>
      <c r="AN186" s="130">
        <f t="shared" si="3"/>
        <v>3.2207245447511168</v>
      </c>
      <c r="AO186" s="130">
        <f t="shared" si="5"/>
        <v>2.7373370176400481E-3</v>
      </c>
    </row>
    <row r="187" spans="2:46" s="130" customFormat="1" ht="13.8" x14ac:dyDescent="0.3">
      <c r="F187" s="131"/>
      <c r="M187" s="37"/>
      <c r="N187" s="38"/>
      <c r="O187" s="38"/>
      <c r="P187" s="38"/>
      <c r="Q187" s="38"/>
      <c r="R187" s="37"/>
      <c r="S187" s="37"/>
      <c r="T187" s="39"/>
      <c r="AG187" s="135">
        <f>AG186</f>
        <v>160</v>
      </c>
      <c r="AH187" s="130">
        <f>AT182*1.1</f>
        <v>-2.4314701702383235</v>
      </c>
      <c r="AK187" s="130">
        <f t="shared" si="1"/>
        <v>0</v>
      </c>
      <c r="AL187" s="130">
        <v>0</v>
      </c>
      <c r="AN187" s="130">
        <f>'[2]Aircraft Load Parameters'!$C$29*(AO187^0.5)*'[2]Design Speeds'!$C$46/'[2]Design Speeds'!$X$38</f>
        <v>0</v>
      </c>
      <c r="AO187" s="130">
        <v>0</v>
      </c>
    </row>
    <row r="188" spans="2:46" s="130" customFormat="1" ht="13.8" x14ac:dyDescent="0.3">
      <c r="M188" s="37"/>
      <c r="N188" s="38"/>
      <c r="O188" s="38"/>
      <c r="P188" s="38"/>
      <c r="Q188" s="38"/>
      <c r="R188" s="37"/>
      <c r="S188" s="37"/>
      <c r="T188" s="39"/>
      <c r="AR188" s="133" t="s">
        <v>97</v>
      </c>
      <c r="AS188" s="133" t="s">
        <v>96</v>
      </c>
      <c r="AT188" s="135">
        <f>AT181</f>
        <v>160</v>
      </c>
    </row>
    <row r="189" spans="2:46" s="130" customFormat="1" ht="13.8" x14ac:dyDescent="0.3">
      <c r="M189" s="37"/>
      <c r="N189" s="38"/>
      <c r="O189" s="38"/>
      <c r="P189" s="38"/>
      <c r="Q189" s="38"/>
      <c r="R189" s="37"/>
      <c r="S189" s="37"/>
      <c r="T189" s="39"/>
      <c r="AR189" s="133"/>
      <c r="AS189" s="133" t="s">
        <v>95</v>
      </c>
      <c r="AT189" s="134">
        <f>C105</f>
        <v>4.1446586566634815</v>
      </c>
    </row>
    <row r="190" spans="2:46" s="130" customFormat="1" ht="13.8" x14ac:dyDescent="0.3">
      <c r="M190" s="37"/>
      <c r="N190" s="38"/>
      <c r="O190" s="38"/>
      <c r="P190" s="38"/>
      <c r="Q190" s="38"/>
      <c r="R190" s="37"/>
      <c r="S190" s="37"/>
      <c r="T190" s="39"/>
    </row>
    <row r="191" spans="2:46" s="130" customFormat="1" ht="13.8" x14ac:dyDescent="0.3">
      <c r="M191" s="37"/>
      <c r="N191" s="38"/>
      <c r="O191" s="38"/>
      <c r="P191" s="38"/>
      <c r="Q191" s="38"/>
      <c r="R191" s="37"/>
      <c r="S191" s="37"/>
      <c r="T191" s="39"/>
    </row>
    <row r="192" spans="2:46" s="130" customFormat="1" ht="13.8" x14ac:dyDescent="0.3">
      <c r="B192" s="123" t="s">
        <v>104</v>
      </c>
      <c r="F192" s="131"/>
      <c r="M192" s="37"/>
      <c r="N192" s="38"/>
      <c r="O192" s="38"/>
      <c r="P192" s="38"/>
      <c r="Q192" s="38"/>
      <c r="R192" s="37"/>
      <c r="S192" s="37"/>
      <c r="T192" s="39"/>
    </row>
    <row r="193" spans="5:46" s="130" customFormat="1" ht="13.8" x14ac:dyDescent="0.3">
      <c r="M193" s="37"/>
      <c r="N193" s="38"/>
      <c r="O193" s="38"/>
      <c r="P193" s="38"/>
      <c r="Q193" s="38"/>
      <c r="R193" s="37"/>
      <c r="S193" s="37"/>
      <c r="T193" s="39"/>
      <c r="V193" s="130">
        <f>C21</f>
        <v>1700</v>
      </c>
      <c r="W193" s="130">
        <v>61</v>
      </c>
    </row>
    <row r="194" spans="5:46" s="130" customFormat="1" ht="13.8" x14ac:dyDescent="0.3">
      <c r="M194" s="37"/>
      <c r="N194" s="38"/>
      <c r="O194" s="38"/>
      <c r="P194" s="38"/>
      <c r="Q194" s="38"/>
      <c r="R194" s="37"/>
      <c r="S194" s="37"/>
      <c r="T194" s="39"/>
      <c r="AJ194" s="135">
        <f>AN194</f>
        <v>120</v>
      </c>
      <c r="AK194" s="130">
        <f>AK171</f>
        <v>86.810575329453073</v>
      </c>
      <c r="AL194" s="130">
        <f>AT208</f>
        <v>-1.9</v>
      </c>
      <c r="AN194" s="135">
        <f>AT195</f>
        <v>120</v>
      </c>
      <c r="AO194" s="130">
        <f>'[2]Wing Loads'!E19</f>
        <v>3.8</v>
      </c>
    </row>
    <row r="195" spans="5:46" s="130" customFormat="1" ht="13.5" customHeight="1" x14ac:dyDescent="0.3">
      <c r="M195" s="37"/>
      <c r="N195" s="38"/>
      <c r="O195" s="38"/>
      <c r="P195" s="38"/>
      <c r="Q195" s="38"/>
      <c r="R195" s="37"/>
      <c r="S195" s="37"/>
      <c r="T195" s="39"/>
      <c r="V195" s="28"/>
      <c r="W195" s="28"/>
      <c r="X195" s="28"/>
      <c r="Y195" s="28"/>
      <c r="Z195" s="28"/>
      <c r="AA195" s="28"/>
      <c r="AB195" s="28"/>
      <c r="AC195" s="28"/>
      <c r="AD195" s="28"/>
      <c r="AE195" s="28"/>
      <c r="AF195" s="28"/>
      <c r="AG195" s="28"/>
      <c r="AJ195" s="130">
        <f t="shared" ref="AJ195:AJ209" si="6">$AJ$194*AK195/$AK$194</f>
        <v>114.41551070947108</v>
      </c>
      <c r="AK195" s="130">
        <f t="shared" ref="AK195:AK210" si="7">AK172</f>
        <v>82.770635927519862</v>
      </c>
      <c r="AL195" s="130">
        <f>AL194/1.1</f>
        <v>-1.7272727272727271</v>
      </c>
      <c r="AN195" s="130">
        <f>AN172</f>
        <v>114.41551070947108</v>
      </c>
      <c r="AO195" s="130">
        <f>AO194/1.1</f>
        <v>3.4545454545454541</v>
      </c>
      <c r="AR195" s="133" t="s">
        <v>102</v>
      </c>
      <c r="AS195" s="133" t="s">
        <v>96</v>
      </c>
      <c r="AT195" s="135">
        <f>AT172</f>
        <v>120</v>
      </c>
    </row>
    <row r="196" spans="5:46" s="130" customFormat="1" ht="13.8" x14ac:dyDescent="0.3">
      <c r="M196" s="37"/>
      <c r="N196" s="38"/>
      <c r="O196" s="38"/>
      <c r="P196" s="38"/>
      <c r="Q196" s="38"/>
      <c r="R196" s="37"/>
      <c r="S196" s="37"/>
      <c r="T196" s="39"/>
      <c r="V196" s="26"/>
      <c r="W196" s="26"/>
      <c r="X196" s="26"/>
      <c r="Y196" s="26"/>
      <c r="Z196" s="26"/>
      <c r="AA196" s="26"/>
      <c r="AB196" s="26"/>
      <c r="AC196" s="26"/>
      <c r="AD196" s="26"/>
      <c r="AE196" s="26"/>
      <c r="AF196" s="26"/>
      <c r="AG196" s="26"/>
      <c r="AJ196" s="130">
        <f t="shared" si="6"/>
        <v>104.4465935734187</v>
      </c>
      <c r="AK196" s="130">
        <f t="shared" si="7"/>
        <v>75.558907327583611</v>
      </c>
      <c r="AL196" s="130">
        <f>AL195/1.2</f>
        <v>-1.4393939393939392</v>
      </c>
      <c r="AN196" s="130">
        <f t="shared" ref="AN196:AN209" si="8">AN173</f>
        <v>104.4465935734187</v>
      </c>
      <c r="AO196" s="130">
        <f>AO195/1.2</f>
        <v>2.8787878787878785</v>
      </c>
      <c r="AR196" s="133"/>
      <c r="AS196" s="133" t="s">
        <v>95</v>
      </c>
      <c r="AT196" s="130">
        <f>AT173</f>
        <v>3.8</v>
      </c>
    </row>
    <row r="197" spans="5:46" s="130" customFormat="1" ht="13.8" x14ac:dyDescent="0.3">
      <c r="M197" s="37"/>
      <c r="N197" s="38"/>
      <c r="O197" s="38"/>
      <c r="P197" s="38"/>
      <c r="Q197" s="38"/>
      <c r="R197" s="37"/>
      <c r="S197" s="37"/>
      <c r="T197" s="39"/>
      <c r="AJ197" s="130">
        <f t="shared" si="6"/>
        <v>91.605722482868885</v>
      </c>
      <c r="AK197" s="130">
        <f t="shared" si="7"/>
        <v>66.269545601733853</v>
      </c>
      <c r="AL197" s="130">
        <f>AL196/1.3</f>
        <v>-1.1072261072261071</v>
      </c>
      <c r="AN197" s="130">
        <f t="shared" si="8"/>
        <v>91.605722482868885</v>
      </c>
      <c r="AO197" s="130">
        <f>AO196/1.3</f>
        <v>2.2144522144522143</v>
      </c>
      <c r="AR197" s="133"/>
      <c r="AS197" s="133"/>
    </row>
    <row r="198" spans="5:46" s="130" customFormat="1" ht="13.8" x14ac:dyDescent="0.3">
      <c r="M198" s="37"/>
      <c r="N198" s="38"/>
      <c r="O198" s="38"/>
      <c r="P198" s="38"/>
      <c r="Q198" s="38"/>
      <c r="R198" s="37"/>
      <c r="S198" s="37"/>
      <c r="T198" s="39"/>
      <c r="W198" s="130">
        <v>0</v>
      </c>
      <c r="X198" s="130">
        <v>1</v>
      </c>
      <c r="Y198" s="130">
        <v>1</v>
      </c>
      <c r="Z198" s="130">
        <v>1</v>
      </c>
      <c r="AA198" s="130">
        <v>1</v>
      </c>
      <c r="AJ198" s="130">
        <f t="shared" si="6"/>
        <v>77.420966113876361</v>
      </c>
      <c r="AK198" s="130">
        <f t="shared" si="7"/>
        <v>56.007988424230817</v>
      </c>
      <c r="AL198" s="130">
        <f>AL197/1.4</f>
        <v>-0.79087579087579085</v>
      </c>
      <c r="AN198" s="130">
        <f t="shared" si="8"/>
        <v>77.420966113876389</v>
      </c>
      <c r="AO198" s="130">
        <f>AO197/1.4</f>
        <v>1.5817515817515817</v>
      </c>
      <c r="AR198" s="133" t="s">
        <v>101</v>
      </c>
      <c r="AS198" s="133" t="s">
        <v>96</v>
      </c>
      <c r="AT198" s="135">
        <f>AT175</f>
        <v>190</v>
      </c>
    </row>
    <row r="199" spans="5:46" s="130" customFormat="1" ht="13.8" x14ac:dyDescent="0.3">
      <c r="F199" s="131"/>
      <c r="G199" s="131"/>
      <c r="M199" s="37"/>
      <c r="N199" s="38"/>
      <c r="O199" s="38"/>
      <c r="P199" s="38"/>
      <c r="Q199" s="38"/>
      <c r="R199" s="37"/>
      <c r="S199" s="37"/>
      <c r="T199" s="39"/>
      <c r="W199" s="135">
        <f>AG200</f>
        <v>120</v>
      </c>
      <c r="X199" s="136">
        <f>AH200</f>
        <v>3.8</v>
      </c>
      <c r="Y199" s="136">
        <f>AT208</f>
        <v>-1.9</v>
      </c>
      <c r="AD199" s="135">
        <f>AT195</f>
        <v>120</v>
      </c>
      <c r="AE199" s="130">
        <f>AT196</f>
        <v>3.8</v>
      </c>
      <c r="AJ199" s="130">
        <f t="shared" si="6"/>
        <v>63.213954124101384</v>
      </c>
      <c r="AK199" s="130">
        <f t="shared" si="7"/>
        <v>45.730331053024116</v>
      </c>
      <c r="AL199" s="130">
        <f>AL198/1.5</f>
        <v>-0.52725052725052723</v>
      </c>
      <c r="AN199" s="130">
        <f t="shared" si="8"/>
        <v>63.213954124101392</v>
      </c>
      <c r="AO199" s="130">
        <f>AO198/1.5</f>
        <v>1.0545010545010545</v>
      </c>
      <c r="AR199" s="133"/>
      <c r="AS199" s="133" t="s">
        <v>95</v>
      </c>
      <c r="AT199" s="136">
        <f>AT196</f>
        <v>3.8</v>
      </c>
    </row>
    <row r="200" spans="5:46" s="130" customFormat="1" ht="13.8" x14ac:dyDescent="0.3">
      <c r="F200" s="131"/>
      <c r="M200" s="37"/>
      <c r="N200" s="38"/>
      <c r="O200" s="38"/>
      <c r="P200" s="38"/>
      <c r="Q200" s="38"/>
      <c r="R200" s="37"/>
      <c r="S200" s="37"/>
      <c r="T200" s="39"/>
      <c r="AD200" s="135">
        <f>AT211</f>
        <v>160</v>
      </c>
      <c r="AE200" s="136">
        <f>AT212</f>
        <v>4.4925653815640638</v>
      </c>
      <c r="AG200" s="135">
        <f>AD199</f>
        <v>120</v>
      </c>
      <c r="AH200" s="136">
        <f>AE199</f>
        <v>3.8</v>
      </c>
      <c r="AJ200" s="130">
        <f t="shared" si="6"/>
        <v>49.975018734388655</v>
      </c>
      <c r="AK200" s="130">
        <f t="shared" si="7"/>
        <v>36.153001070270626</v>
      </c>
      <c r="AL200" s="130">
        <f>AL199/1.6</f>
        <v>-0.32953157953157952</v>
      </c>
      <c r="AN200" s="130">
        <f t="shared" si="8"/>
        <v>49.975018734388655</v>
      </c>
      <c r="AO200" s="130">
        <f>AO199/1.6</f>
        <v>0.65906315906315904</v>
      </c>
      <c r="AR200" s="133"/>
      <c r="AS200" s="133"/>
    </row>
    <row r="201" spans="5:46" s="130" customFormat="1" ht="13.8" x14ac:dyDescent="0.3">
      <c r="F201" s="131"/>
      <c r="M201" s="37"/>
      <c r="N201" s="38"/>
      <c r="O201" s="38"/>
      <c r="P201" s="38"/>
      <c r="Q201" s="38"/>
      <c r="R201" s="37"/>
      <c r="S201" s="37"/>
      <c r="T201" s="39"/>
      <c r="AD201" s="135">
        <f>AT198</f>
        <v>190</v>
      </c>
      <c r="AE201" s="136">
        <f>AT199</f>
        <v>3.8</v>
      </c>
      <c r="AG201" s="135">
        <f>AD201</f>
        <v>190</v>
      </c>
      <c r="AH201" s="136">
        <f>AH200</f>
        <v>3.8</v>
      </c>
      <c r="AJ201" s="130">
        <f t="shared" si="6"/>
        <v>47.649310760087197</v>
      </c>
      <c r="AK201" s="130">
        <f t="shared" si="7"/>
        <v>34.470534009458902</v>
      </c>
      <c r="AL201" s="130">
        <f>AL200/1.1</f>
        <v>-0.29957416321052682</v>
      </c>
      <c r="AN201" s="130">
        <f t="shared" si="8"/>
        <v>47.649310760087197</v>
      </c>
      <c r="AO201" s="130">
        <f>AO200/1.1</f>
        <v>0.59914832642105365</v>
      </c>
      <c r="AR201" s="133" t="s">
        <v>100</v>
      </c>
      <c r="AS201" s="133" t="s">
        <v>96</v>
      </c>
      <c r="AT201" s="135">
        <f>AT178</f>
        <v>190</v>
      </c>
    </row>
    <row r="202" spans="5:46" s="130" customFormat="1" ht="13.8" x14ac:dyDescent="0.3">
      <c r="F202" s="131"/>
      <c r="M202" s="37"/>
      <c r="N202" s="38"/>
      <c r="O202" s="38"/>
      <c r="P202" s="38"/>
      <c r="Q202" s="38"/>
      <c r="R202" s="37"/>
      <c r="S202" s="37"/>
      <c r="T202" s="39"/>
      <c r="W202" s="130">
        <v>0</v>
      </c>
      <c r="Z202" s="130">
        <v>1</v>
      </c>
      <c r="AA202" s="130">
        <v>1</v>
      </c>
      <c r="AD202" s="135">
        <f>AD201</f>
        <v>190</v>
      </c>
      <c r="AE202" s="136">
        <f>AT202</f>
        <v>-1.9</v>
      </c>
      <c r="AG202" s="135"/>
      <c r="AH202" s="137"/>
      <c r="AJ202" s="130">
        <f t="shared" si="6"/>
        <v>35.515699313522376</v>
      </c>
      <c r="AK202" s="130">
        <f t="shared" si="7"/>
        <v>25.692819088622826</v>
      </c>
      <c r="AL202" s="130">
        <f>AL201/1.8</f>
        <v>-0.16643009067251491</v>
      </c>
      <c r="AN202" s="130">
        <f t="shared" si="8"/>
        <v>35.515699313522383</v>
      </c>
      <c r="AO202" s="130">
        <f>AO201/1.8</f>
        <v>0.33286018134502982</v>
      </c>
      <c r="AR202" s="133"/>
      <c r="AS202" s="133" t="s">
        <v>95</v>
      </c>
      <c r="AT202" s="136">
        <f>C36</f>
        <v>-1.9</v>
      </c>
    </row>
    <row r="203" spans="5:46" s="130" customFormat="1" ht="13.8" x14ac:dyDescent="0.3">
      <c r="E203" s="132"/>
      <c r="M203" s="37"/>
      <c r="N203" s="38"/>
      <c r="O203" s="38"/>
      <c r="P203" s="38"/>
      <c r="Q203" s="38"/>
      <c r="R203" s="37"/>
      <c r="S203" s="37"/>
      <c r="T203" s="39"/>
      <c r="W203" s="135">
        <f>AT198</f>
        <v>190</v>
      </c>
      <c r="Z203" s="136">
        <f>AH201</f>
        <v>3.8</v>
      </c>
      <c r="AA203" s="136">
        <f>AT208</f>
        <v>-1.9</v>
      </c>
      <c r="AD203" s="135">
        <f>AT204</f>
        <v>160</v>
      </c>
      <c r="AE203" s="136">
        <f>AT205</f>
        <v>-2.5007680302464017</v>
      </c>
      <c r="AG203" s="135">
        <f>AG200</f>
        <v>120</v>
      </c>
      <c r="AH203" s="136">
        <f>AT208</f>
        <v>-1.9</v>
      </c>
      <c r="AJ203" s="130">
        <f t="shared" si="6"/>
        <v>25.765796358008931</v>
      </c>
      <c r="AK203" s="130">
        <f t="shared" si="7"/>
        <v>18.639530047169018</v>
      </c>
      <c r="AL203" s="130">
        <f>AL202/1.9</f>
        <v>-8.759478456448154E-2</v>
      </c>
      <c r="AN203" s="130">
        <f t="shared" si="8"/>
        <v>25.765796358008934</v>
      </c>
      <c r="AO203" s="130">
        <f>AO202/1.9</f>
        <v>0.17518956912896308</v>
      </c>
      <c r="AR203" s="133"/>
      <c r="AS203" s="133"/>
    </row>
    <row r="204" spans="5:46" s="130" customFormat="1" ht="13.8" x14ac:dyDescent="0.3">
      <c r="M204" s="37"/>
      <c r="N204" s="38"/>
      <c r="O204" s="38"/>
      <c r="P204" s="38"/>
      <c r="Q204" s="38"/>
      <c r="R204" s="37"/>
      <c r="S204" s="37"/>
      <c r="T204" s="39"/>
      <c r="AD204" s="135">
        <f>AT207</f>
        <v>120</v>
      </c>
      <c r="AE204" s="136">
        <f>AT208</f>
        <v>-1.9</v>
      </c>
      <c r="AG204" s="135">
        <f>AG201</f>
        <v>190</v>
      </c>
      <c r="AH204" s="136">
        <f>AH203</f>
        <v>-1.9</v>
      </c>
      <c r="AJ204" s="130">
        <f t="shared" si="6"/>
        <v>18.219169327419767</v>
      </c>
      <c r="AK204" s="130">
        <f t="shared" si="7"/>
        <v>13.18013809448362</v>
      </c>
      <c r="AL204" s="130">
        <f t="shared" ref="AL204:AL209" si="9">AL203/2</f>
        <v>-4.379739228224077E-2</v>
      </c>
      <c r="AN204" s="130">
        <f t="shared" si="8"/>
        <v>18.219169327419767</v>
      </c>
      <c r="AO204" s="130">
        <f t="shared" ref="AO204:AO209" si="10">AO203/2</f>
        <v>8.759478456448154E-2</v>
      </c>
      <c r="AR204" s="133" t="s">
        <v>99</v>
      </c>
      <c r="AS204" s="133" t="s">
        <v>96</v>
      </c>
      <c r="AT204" s="135">
        <f>AT181</f>
        <v>160</v>
      </c>
    </row>
    <row r="205" spans="5:46" s="130" customFormat="1" ht="13.8" x14ac:dyDescent="0.3">
      <c r="M205" s="37"/>
      <c r="N205" s="38"/>
      <c r="O205" s="38"/>
      <c r="P205" s="38"/>
      <c r="Q205" s="38"/>
      <c r="R205" s="37"/>
      <c r="S205" s="37"/>
      <c r="T205" s="39"/>
      <c r="AJ205" s="130">
        <f t="shared" si="6"/>
        <v>12.882898179004465</v>
      </c>
      <c r="AK205" s="130">
        <f t="shared" si="7"/>
        <v>9.3197650235845089</v>
      </c>
      <c r="AL205" s="130">
        <f t="shared" si="9"/>
        <v>-2.1898696141120385E-2</v>
      </c>
      <c r="AN205" s="130">
        <f t="shared" si="8"/>
        <v>12.882898179004467</v>
      </c>
      <c r="AO205" s="130">
        <f t="shared" si="10"/>
        <v>4.379739228224077E-2</v>
      </c>
      <c r="AR205" s="133"/>
      <c r="AS205" s="133" t="s">
        <v>95</v>
      </c>
      <c r="AT205" s="136">
        <f>C160</f>
        <v>-2.5007680302464017</v>
      </c>
    </row>
    <row r="206" spans="5:46" s="130" customFormat="1" ht="13.8" x14ac:dyDescent="0.3">
      <c r="M206" s="37"/>
      <c r="N206" s="38"/>
      <c r="O206" s="38"/>
      <c r="P206" s="38"/>
      <c r="Q206" s="38"/>
      <c r="R206" s="37"/>
      <c r="S206" s="37"/>
      <c r="T206" s="39"/>
      <c r="AG206" s="135">
        <f>AT195</f>
        <v>120</v>
      </c>
      <c r="AH206" s="130">
        <f>AT196*1.1</f>
        <v>4.18</v>
      </c>
      <c r="AJ206" s="130">
        <f t="shared" si="6"/>
        <v>9.1095846637098834</v>
      </c>
      <c r="AK206" s="130">
        <f t="shared" si="7"/>
        <v>6.5900690472418102</v>
      </c>
      <c r="AL206" s="130">
        <f t="shared" si="9"/>
        <v>-1.0949348070560192E-2</v>
      </c>
      <c r="AN206" s="130">
        <f t="shared" si="8"/>
        <v>9.1095846637098834</v>
      </c>
      <c r="AO206" s="130">
        <f t="shared" si="10"/>
        <v>2.1898696141120385E-2</v>
      </c>
      <c r="AR206" s="133"/>
      <c r="AS206" s="133"/>
    </row>
    <row r="207" spans="5:46" s="130" customFormat="1" ht="13.8" x14ac:dyDescent="0.3">
      <c r="F207" s="131"/>
      <c r="M207" s="37"/>
      <c r="N207" s="38"/>
      <c r="O207" s="38"/>
      <c r="P207" s="38"/>
      <c r="Q207" s="38"/>
      <c r="R207" s="37"/>
      <c r="S207" s="37"/>
      <c r="T207" s="39"/>
      <c r="AG207" s="135">
        <f>AG206</f>
        <v>120</v>
      </c>
      <c r="AH207" s="130">
        <f>AT208*1.1</f>
        <v>-2.09</v>
      </c>
      <c r="AJ207" s="130">
        <f t="shared" si="6"/>
        <v>6.4414490895022327</v>
      </c>
      <c r="AK207" s="130">
        <f t="shared" si="7"/>
        <v>4.6598825117922544</v>
      </c>
      <c r="AL207" s="130">
        <f t="shared" si="9"/>
        <v>-5.4746740352800962E-3</v>
      </c>
      <c r="AN207" s="130">
        <f t="shared" si="8"/>
        <v>6.4414490895022336</v>
      </c>
      <c r="AO207" s="130">
        <f t="shared" si="10"/>
        <v>1.0949348070560192E-2</v>
      </c>
      <c r="AR207" s="133" t="s">
        <v>98</v>
      </c>
      <c r="AS207" s="133" t="s">
        <v>96</v>
      </c>
      <c r="AT207" s="135">
        <f>AT195</f>
        <v>120</v>
      </c>
    </row>
    <row r="208" spans="5:46" s="130" customFormat="1" ht="13.8" x14ac:dyDescent="0.3">
      <c r="F208" s="131"/>
      <c r="M208" s="37"/>
      <c r="N208" s="38"/>
      <c r="O208" s="38"/>
      <c r="P208" s="38"/>
      <c r="Q208" s="38"/>
      <c r="R208" s="37"/>
      <c r="S208" s="37"/>
      <c r="T208" s="39"/>
      <c r="AJ208" s="130">
        <f t="shared" si="6"/>
        <v>4.5547923318549417</v>
      </c>
      <c r="AK208" s="130">
        <f t="shared" si="7"/>
        <v>3.2950345236209051</v>
      </c>
      <c r="AL208" s="130">
        <f t="shared" si="9"/>
        <v>-2.7373370176400481E-3</v>
      </c>
      <c r="AN208" s="130">
        <f t="shared" si="8"/>
        <v>4.5547923318549417</v>
      </c>
      <c r="AO208" s="130">
        <f t="shared" si="10"/>
        <v>5.4746740352800962E-3</v>
      </c>
      <c r="AS208" s="133" t="s">
        <v>95</v>
      </c>
      <c r="AT208" s="136">
        <f>AT202</f>
        <v>-1.9</v>
      </c>
    </row>
    <row r="209" spans="1:46" s="130" customFormat="1" ht="13.8" x14ac:dyDescent="0.3">
      <c r="F209" s="131"/>
      <c r="M209" s="37"/>
      <c r="N209" s="38"/>
      <c r="O209" s="38"/>
      <c r="P209" s="38"/>
      <c r="Q209" s="38"/>
      <c r="R209" s="37"/>
      <c r="S209" s="37"/>
      <c r="T209" s="39"/>
      <c r="AG209" s="135">
        <f>AT204</f>
        <v>160</v>
      </c>
      <c r="AH209" s="130">
        <f>AT212*1.1</f>
        <v>4.9418219197204705</v>
      </c>
      <c r="AJ209" s="130">
        <f t="shared" si="6"/>
        <v>3.2207245447511164</v>
      </c>
      <c r="AK209" s="130">
        <f t="shared" si="7"/>
        <v>2.3299412558961272</v>
      </c>
      <c r="AL209" s="130">
        <f t="shared" si="9"/>
        <v>-1.3686685088200241E-3</v>
      </c>
      <c r="AN209" s="130">
        <f t="shared" si="8"/>
        <v>3.2207245447511168</v>
      </c>
      <c r="AO209" s="130">
        <f t="shared" si="10"/>
        <v>2.7373370176400481E-3</v>
      </c>
    </row>
    <row r="210" spans="1:46" s="130" customFormat="1" ht="13.8" x14ac:dyDescent="0.3">
      <c r="F210" s="131"/>
      <c r="M210" s="37"/>
      <c r="N210" s="38"/>
      <c r="O210" s="38"/>
      <c r="P210" s="38"/>
      <c r="Q210" s="38"/>
      <c r="R210" s="37"/>
      <c r="S210" s="37"/>
      <c r="T210" s="39"/>
      <c r="AG210" s="135">
        <f>AG209</f>
        <v>160</v>
      </c>
      <c r="AH210" s="130">
        <f>AT205*1.1</f>
        <v>-2.7508448332710422</v>
      </c>
      <c r="AK210" s="130">
        <f t="shared" si="7"/>
        <v>0</v>
      </c>
      <c r="AL210" s="130">
        <v>0</v>
      </c>
      <c r="AN210" s="130">
        <f>'[2]Aircraft Load Parameters'!$C$29*(AO210^0.5)*'[2]Design Speeds'!$C$46/'[2]Design Speeds'!$X$38</f>
        <v>0</v>
      </c>
      <c r="AO210" s="130">
        <v>0</v>
      </c>
    </row>
    <row r="211" spans="1:46" s="130" customFormat="1" ht="13.8" x14ac:dyDescent="0.3">
      <c r="M211" s="37"/>
      <c r="N211" s="38"/>
      <c r="O211" s="38"/>
      <c r="P211" s="38"/>
      <c r="Q211" s="38"/>
      <c r="R211" s="37"/>
      <c r="S211" s="37"/>
      <c r="T211" s="39"/>
      <c r="AR211" s="133" t="s">
        <v>97</v>
      </c>
      <c r="AS211" s="133" t="s">
        <v>96</v>
      </c>
      <c r="AT211" s="135">
        <f>AT204</f>
        <v>160</v>
      </c>
    </row>
    <row r="212" spans="1:46" s="130" customFormat="1" ht="13.8" x14ac:dyDescent="0.3">
      <c r="M212" s="37"/>
      <c r="N212" s="38"/>
      <c r="O212" s="38"/>
      <c r="P212" s="38"/>
      <c r="Q212" s="38"/>
      <c r="R212" s="37"/>
      <c r="S212" s="37"/>
      <c r="T212" s="39"/>
      <c r="AR212" s="133"/>
      <c r="AS212" s="133" t="s">
        <v>95</v>
      </c>
      <c r="AT212" s="134">
        <f>C108</f>
        <v>4.4925653815640638</v>
      </c>
    </row>
    <row r="213" spans="1:46" s="130" customFormat="1" ht="13.8" x14ac:dyDescent="0.3">
      <c r="M213" s="37"/>
      <c r="N213" s="38"/>
      <c r="O213" s="38"/>
      <c r="P213" s="38"/>
      <c r="Q213" s="38"/>
      <c r="R213" s="37"/>
      <c r="S213" s="37"/>
      <c r="T213" s="39"/>
    </row>
    <row r="214" spans="1:46" s="130" customFormat="1" ht="13.8" x14ac:dyDescent="0.3">
      <c r="M214" s="37"/>
      <c r="N214" s="38"/>
      <c r="O214" s="38"/>
      <c r="P214" s="38"/>
      <c r="Q214" s="38"/>
      <c r="R214" s="37"/>
      <c r="S214" s="37"/>
      <c r="T214" s="39"/>
    </row>
    <row r="215" spans="1:46" s="130" customFormat="1" ht="13.8" x14ac:dyDescent="0.3">
      <c r="A215" s="58"/>
      <c r="B215" s="61"/>
      <c r="C215" s="60"/>
      <c r="D215" s="62"/>
      <c r="E215" s="62"/>
      <c r="F215" s="63" t="s">
        <v>35</v>
      </c>
      <c r="G215" s="60"/>
      <c r="H215" s="62"/>
      <c r="I215" s="62"/>
      <c r="J215" s="62"/>
      <c r="K215" s="58"/>
      <c r="M215" s="37"/>
      <c r="N215" s="38"/>
      <c r="O215" s="38"/>
      <c r="P215" s="38"/>
      <c r="Q215" s="38"/>
      <c r="R215" s="37"/>
      <c r="S215" s="37"/>
      <c r="T215" s="39"/>
    </row>
    <row r="216" spans="1:46" s="130" customFormat="1" ht="13.8" x14ac:dyDescent="0.3">
      <c r="A216" s="58"/>
      <c r="B216" s="62"/>
      <c r="C216" s="62"/>
      <c r="D216" s="62"/>
      <c r="E216" s="62"/>
      <c r="F216" s="149" t="s">
        <v>118</v>
      </c>
      <c r="G216" s="62"/>
      <c r="H216" s="62"/>
      <c r="I216" s="62"/>
      <c r="J216" s="62"/>
      <c r="K216" s="58"/>
      <c r="M216" s="37"/>
      <c r="N216" s="38"/>
      <c r="O216" s="38"/>
      <c r="P216" s="38"/>
      <c r="Q216" s="38"/>
      <c r="R216" s="37"/>
      <c r="S216" s="37"/>
      <c r="T216" s="39"/>
    </row>
    <row r="217" spans="1:46" s="130" customFormat="1" ht="13.8" x14ac:dyDescent="0.3">
      <c r="A217" s="14"/>
      <c r="B217" s="5"/>
      <c r="C217" s="5"/>
      <c r="D217" s="5"/>
      <c r="E217" s="7" t="s">
        <v>1</v>
      </c>
      <c r="F217" s="8" t="str">
        <f>$C$1</f>
        <v>R. Abbott</v>
      </c>
      <c r="G217" s="5"/>
      <c r="H217" s="15"/>
      <c r="I217" s="7" t="s">
        <v>8</v>
      </c>
      <c r="J217" s="16" t="str">
        <f>$G$2</f>
        <v>AA-SM-515</v>
      </c>
      <c r="K217" s="17"/>
      <c r="L217" s="18"/>
      <c r="M217" s="9"/>
      <c r="N217" s="9"/>
      <c r="O217" s="9"/>
      <c r="P217" s="9"/>
      <c r="Q217" s="38"/>
      <c r="R217" s="37"/>
      <c r="S217" s="37"/>
      <c r="T217" s="39"/>
    </row>
    <row r="218" spans="1:46" s="130" customFormat="1" ht="13.8" x14ac:dyDescent="0.3">
      <c r="A218" s="5"/>
      <c r="B218" s="5"/>
      <c r="C218" s="5"/>
      <c r="D218" s="5"/>
      <c r="E218" s="7" t="s">
        <v>2</v>
      </c>
      <c r="F218" s="15" t="str">
        <f>$C$2</f>
        <v xml:space="preserve"> </v>
      </c>
      <c r="G218" s="5"/>
      <c r="H218" s="15"/>
      <c r="I218" s="7" t="s">
        <v>9</v>
      </c>
      <c r="J218" s="17" t="str">
        <f>$G$3</f>
        <v>IR</v>
      </c>
      <c r="K218" s="17"/>
      <c r="L218" s="18"/>
      <c r="M218" s="9">
        <v>1</v>
      </c>
      <c r="N218" s="9"/>
      <c r="O218" s="9"/>
      <c r="P218" s="9"/>
      <c r="Q218" s="38"/>
      <c r="R218" s="37"/>
      <c r="S218" s="37"/>
      <c r="T218" s="39"/>
    </row>
    <row r="219" spans="1:46" s="130" customFormat="1" ht="13.8" x14ac:dyDescent="0.3">
      <c r="A219" s="5"/>
      <c r="B219" s="5"/>
      <c r="C219" s="5"/>
      <c r="D219" s="5"/>
      <c r="E219" s="7" t="s">
        <v>3</v>
      </c>
      <c r="F219" s="15" t="str">
        <f>$C$3</f>
        <v>20/10/2013</v>
      </c>
      <c r="G219" s="5"/>
      <c r="H219" s="15"/>
      <c r="I219" s="7" t="s">
        <v>6</v>
      </c>
      <c r="J219" s="8" t="str">
        <f>L219&amp;" of "&amp;$G$1</f>
        <v>5 of 6</v>
      </c>
      <c r="K219" s="15"/>
      <c r="L219" s="18">
        <f>SUM($M$1:M218)</f>
        <v>5</v>
      </c>
      <c r="M219" s="9"/>
      <c r="N219" s="9"/>
      <c r="O219" s="9"/>
      <c r="P219" s="9"/>
      <c r="Q219" s="38"/>
      <c r="R219" s="37"/>
      <c r="S219" s="37"/>
      <c r="T219" s="39"/>
    </row>
    <row r="220" spans="1:46" s="5" customFormat="1" ht="13.8" x14ac:dyDescent="0.3">
      <c r="A220" s="26"/>
      <c r="B220" s="26"/>
      <c r="C220" s="26"/>
      <c r="D220" s="26"/>
      <c r="E220" s="7" t="s">
        <v>30</v>
      </c>
      <c r="F220" s="15" t="str">
        <f>$C$5</f>
        <v>STANDARD SPREADSHEET METHOD</v>
      </c>
      <c r="I220" s="19"/>
      <c r="J220" s="8"/>
      <c r="M220" s="37"/>
      <c r="N220" s="38"/>
      <c r="O220" s="38"/>
      <c r="P220" s="38"/>
      <c r="Q220" s="38"/>
      <c r="R220" s="37"/>
      <c r="S220" s="37"/>
      <c r="T220" s="39"/>
    </row>
    <row r="221" spans="1:46" s="28" customFormat="1" x14ac:dyDescent="0.3">
      <c r="A221" s="73"/>
      <c r="B221" s="21" t="str">
        <f>$G$4</f>
        <v>SIMPLIFIED PART 23 AIRCRAFT LOADS</v>
      </c>
      <c r="C221" s="74"/>
      <c r="D221" s="74"/>
      <c r="E221" s="75"/>
      <c r="F221" s="74"/>
      <c r="G221" s="74"/>
      <c r="H221" s="74"/>
      <c r="I221" s="74"/>
      <c r="J221" s="74"/>
      <c r="K221" s="74"/>
      <c r="L221" s="30"/>
      <c r="M221" s="37"/>
      <c r="N221" s="38"/>
      <c r="O221" s="38"/>
      <c r="P221" s="38"/>
      <c r="Q221" s="38"/>
      <c r="R221" s="37"/>
      <c r="S221" s="37"/>
      <c r="T221" s="39"/>
    </row>
    <row r="222" spans="1:46" s="26" customFormat="1" ht="13.8" x14ac:dyDescent="0.3">
      <c r="A222" s="76"/>
      <c r="B222" s="76" t="s">
        <v>50</v>
      </c>
      <c r="C222" s="76"/>
      <c r="D222" s="76"/>
      <c r="E222" s="76"/>
      <c r="F222" s="76"/>
      <c r="G222" s="76"/>
      <c r="H222" s="76"/>
      <c r="I222" s="76"/>
      <c r="J222" s="76"/>
      <c r="K222" s="76"/>
      <c r="L222" s="29"/>
      <c r="M222" s="37"/>
      <c r="N222" s="38"/>
      <c r="O222" s="38"/>
      <c r="P222" s="38"/>
      <c r="Q222" s="38"/>
      <c r="R222" s="37"/>
      <c r="S222" s="37"/>
      <c r="T222" s="39"/>
    </row>
    <row r="223" spans="1:46" s="26" customFormat="1" ht="13.8" x14ac:dyDescent="0.3">
      <c r="A223" s="76"/>
      <c r="B223" s="117" t="s">
        <v>105</v>
      </c>
      <c r="C223" s="76"/>
      <c r="D223" s="79"/>
      <c r="E223" s="76"/>
      <c r="F223" s="76"/>
      <c r="G223" s="80"/>
      <c r="H223" s="76"/>
      <c r="I223" s="76"/>
      <c r="J223" s="76"/>
      <c r="K223" s="76"/>
      <c r="M223" s="37"/>
      <c r="N223" s="38"/>
      <c r="O223" s="38"/>
      <c r="P223" s="38"/>
      <c r="Q223" s="38"/>
      <c r="R223" s="37"/>
      <c r="S223" s="37"/>
      <c r="T223" s="39"/>
    </row>
    <row r="224" spans="1:46" s="26" customFormat="1" ht="13.8" x14ac:dyDescent="0.3">
      <c r="A224" s="76"/>
      <c r="B224" s="78"/>
      <c r="C224" s="76"/>
      <c r="D224" s="79"/>
      <c r="E224" s="76"/>
      <c r="F224" s="76"/>
      <c r="G224" s="76"/>
      <c r="H224" s="76"/>
      <c r="I224" s="76"/>
      <c r="J224" s="76"/>
      <c r="K224" s="76"/>
      <c r="M224" s="37"/>
      <c r="N224" s="38"/>
      <c r="O224" s="38"/>
      <c r="P224" s="38"/>
      <c r="Q224" s="38"/>
      <c r="R224" s="37"/>
      <c r="S224" s="37"/>
      <c r="T224" s="39"/>
      <c r="V224" s="40"/>
      <c r="W224" s="40"/>
      <c r="Y224" s="5"/>
      <c r="Z224" s="5"/>
      <c r="AA224" s="5"/>
      <c r="AB224" s="5"/>
      <c r="AC224" s="7"/>
      <c r="AD224" s="5"/>
      <c r="AE224" s="5"/>
      <c r="AF224" s="5"/>
      <c r="AG224" s="5"/>
      <c r="AH224" s="5"/>
      <c r="AI224" s="5"/>
    </row>
    <row r="225" spans="1:35" s="28" customFormat="1" ht="13.5" customHeight="1" x14ac:dyDescent="0.3">
      <c r="A225" s="76"/>
      <c r="B225" s="28" t="s">
        <v>89</v>
      </c>
      <c r="D225" s="79"/>
      <c r="E225" s="76"/>
      <c r="F225" s="76"/>
      <c r="G225" s="76"/>
      <c r="H225" s="76"/>
      <c r="I225" s="76"/>
      <c r="J225" s="76"/>
      <c r="K225" s="76"/>
      <c r="L225" s="30"/>
      <c r="M225" s="37"/>
      <c r="N225" s="38"/>
      <c r="O225" s="38"/>
      <c r="P225" s="38"/>
      <c r="Q225" s="38"/>
      <c r="R225" s="37"/>
      <c r="S225" s="37"/>
      <c r="T225" s="39"/>
      <c r="U225" s="30"/>
      <c r="V225" s="40"/>
      <c r="W225" s="40"/>
      <c r="X225" s="30"/>
      <c r="Y225" s="5"/>
      <c r="Z225" s="18"/>
      <c r="AA225" s="46"/>
      <c r="AB225" s="46"/>
      <c r="AC225" s="5"/>
      <c r="AD225" s="5"/>
      <c r="AE225" s="5"/>
      <c r="AF225" s="5"/>
      <c r="AG225" s="5"/>
      <c r="AH225" s="5"/>
      <c r="AI225" s="5"/>
    </row>
    <row r="226" spans="1:35" s="28" customFormat="1" ht="13.8" x14ac:dyDescent="0.3">
      <c r="A226" s="80"/>
      <c r="B226" s="83" t="s">
        <v>84</v>
      </c>
      <c r="C226" s="28" t="str">
        <f>[1]!xln(C227)</f>
        <v>3.8 × 12.7</v>
      </c>
      <c r="D226" s="80"/>
      <c r="E226" s="80"/>
      <c r="F226" s="80"/>
      <c r="G226" s="80"/>
      <c r="H226" s="80"/>
      <c r="I226" s="80"/>
      <c r="J226" s="80"/>
      <c r="K226" s="80"/>
      <c r="L226" s="30"/>
      <c r="M226" s="37"/>
      <c r="N226" s="38"/>
      <c r="O226" s="38"/>
      <c r="P226" s="38"/>
      <c r="Q226" s="38"/>
      <c r="R226" s="37"/>
      <c r="S226" s="37"/>
      <c r="T226" s="39"/>
      <c r="U226" s="30"/>
      <c r="V226" s="40"/>
      <c r="W226" s="40"/>
      <c r="X226" s="30"/>
      <c r="Y226" s="5"/>
      <c r="Z226" s="46"/>
      <c r="AA226" s="29"/>
      <c r="AB226" s="31"/>
      <c r="AC226" s="5"/>
      <c r="AD226" s="5"/>
      <c r="AE226" s="5"/>
      <c r="AF226" s="5"/>
      <c r="AG226" s="5"/>
      <c r="AH226" s="5"/>
      <c r="AI226" s="5"/>
    </row>
    <row r="227" spans="1:35" s="28" customFormat="1" ht="13.8" x14ac:dyDescent="0.3">
      <c r="A227" s="76"/>
      <c r="B227" s="79" t="s">
        <v>85</v>
      </c>
      <c r="C227" s="99">
        <f>C35*C19</f>
        <v>48.223350253807105</v>
      </c>
      <c r="D227" s="94" t="s">
        <v>109</v>
      </c>
      <c r="E227" s="76"/>
      <c r="F227" s="76"/>
      <c r="G227" s="76"/>
      <c r="H227" s="76"/>
      <c r="I227" s="76"/>
      <c r="J227" s="76"/>
      <c r="K227" s="76"/>
      <c r="L227" s="30"/>
      <c r="M227" s="37"/>
      <c r="N227" s="38"/>
      <c r="O227" s="38"/>
      <c r="P227" s="38"/>
      <c r="Q227" s="38"/>
      <c r="R227" s="37"/>
      <c r="S227" s="37"/>
      <c r="T227" s="39"/>
      <c r="U227" s="30"/>
      <c r="V227" s="40"/>
      <c r="W227" s="40"/>
      <c r="X227" s="40">
        <v>0</v>
      </c>
      <c r="Y227" s="5"/>
      <c r="Z227" s="18"/>
      <c r="AA227" s="29"/>
      <c r="AB227" s="40">
        <f>C227</f>
        <v>48.223350253807105</v>
      </c>
      <c r="AC227" s="5">
        <f t="shared" ref="AC227" si="11">IF(AB227&lt;47,3.66*AB227^0.5,0.534*AB227)</f>
        <v>25.751269035532996</v>
      </c>
      <c r="AD227" s="18">
        <f t="shared" ref="AD227" si="12">4.8+0.534*AB227</f>
        <v>30.551269035532997</v>
      </c>
      <c r="AE227" s="48"/>
      <c r="AF227" s="47"/>
      <c r="AG227" s="47"/>
      <c r="AH227" s="47"/>
      <c r="AI227" s="5"/>
    </row>
    <row r="228" spans="1:35" s="28" customFormat="1" ht="13.8" x14ac:dyDescent="0.3">
      <c r="A228" s="76"/>
      <c r="B228" s="83"/>
      <c r="C228" s="84"/>
      <c r="D228" s="76"/>
      <c r="E228" s="76"/>
      <c r="F228" s="76"/>
      <c r="G228" s="76"/>
      <c r="H228" s="76"/>
      <c r="I228" s="76"/>
      <c r="J228" s="76"/>
      <c r="K228" s="76"/>
      <c r="L228" s="30"/>
      <c r="M228" s="37"/>
      <c r="N228" s="38"/>
      <c r="O228" s="38"/>
      <c r="P228" s="38"/>
      <c r="Q228" s="38"/>
      <c r="R228" s="37"/>
      <c r="S228" s="37"/>
      <c r="T228" s="39"/>
      <c r="U228" s="30"/>
      <c r="V228" s="40"/>
      <c r="W228" s="40"/>
      <c r="X228" s="40">
        <v>5</v>
      </c>
      <c r="Y228" s="5"/>
      <c r="Z228" s="18"/>
      <c r="AA228" s="29"/>
      <c r="AB228" s="31"/>
      <c r="AC228" s="47"/>
      <c r="AD228" s="47"/>
      <c r="AE228" s="47"/>
      <c r="AF228" s="47"/>
      <c r="AG228" s="47"/>
      <c r="AH228" s="47"/>
      <c r="AI228" s="23"/>
    </row>
    <row r="229" spans="1:35" s="28" customFormat="1" ht="13.8" x14ac:dyDescent="0.3">
      <c r="A229" s="82"/>
      <c r="B229" s="123" t="s">
        <v>106</v>
      </c>
      <c r="C229" s="82"/>
      <c r="D229" s="76"/>
      <c r="E229" s="76"/>
      <c r="F229" s="76"/>
      <c r="G229" s="76"/>
      <c r="H229" s="84"/>
      <c r="I229" s="76"/>
      <c r="J229" s="76"/>
      <c r="K229" s="76"/>
      <c r="L229" s="30"/>
      <c r="M229" s="27"/>
      <c r="N229" s="27"/>
      <c r="O229" s="27"/>
      <c r="P229" s="27"/>
      <c r="Q229" s="27"/>
      <c r="R229" s="27"/>
      <c r="S229" s="27"/>
      <c r="T229" s="27"/>
      <c r="U229" s="30"/>
      <c r="V229" s="40"/>
      <c r="W229" s="40"/>
      <c r="X229" s="40">
        <v>7</v>
      </c>
      <c r="Y229" s="5"/>
      <c r="Z229" s="18"/>
      <c r="AA229" s="29"/>
      <c r="AB229" s="31"/>
      <c r="AC229" s="51"/>
      <c r="AD229" s="51"/>
      <c r="AE229" s="51"/>
      <c r="AF229" s="51"/>
      <c r="AG229" s="51"/>
      <c r="AH229" s="51"/>
      <c r="AI229" s="23"/>
    </row>
    <row r="230" spans="1:35" s="28" customFormat="1" ht="13.8" x14ac:dyDescent="0.3">
      <c r="A230" s="82"/>
      <c r="B230" s="83"/>
      <c r="D230" s="79"/>
      <c r="E230" s="76"/>
      <c r="F230" s="85"/>
      <c r="G230" s="76"/>
      <c r="H230" s="85"/>
      <c r="I230" s="80"/>
      <c r="J230" s="80"/>
      <c r="K230" s="76"/>
      <c r="L230" s="30"/>
      <c r="M230" s="27"/>
      <c r="N230" s="27"/>
      <c r="O230" s="27"/>
      <c r="P230" s="27"/>
      <c r="Q230" s="27"/>
      <c r="R230" s="27"/>
      <c r="S230" s="27"/>
      <c r="T230" s="27"/>
      <c r="U230" s="30"/>
      <c r="V230" s="40"/>
      <c r="W230" s="40"/>
      <c r="X230" s="40">
        <v>9</v>
      </c>
      <c r="Y230" s="5">
        <f t="shared" ref="Y230:Y251" si="13">IF(X230&lt;47,3.66*X230^0.5,0.534*X230)</f>
        <v>10.98</v>
      </c>
      <c r="Z230" s="18">
        <f t="shared" ref="Z230:Z251" si="14">4.8+0.534*X230</f>
        <v>9.6059999999999999</v>
      </c>
      <c r="AA230" s="18"/>
      <c r="AB230" s="43"/>
      <c r="AC230" s="5"/>
      <c r="AD230" s="5"/>
      <c r="AE230" s="5"/>
      <c r="AF230" s="5"/>
      <c r="AG230" s="5"/>
      <c r="AH230" s="5"/>
      <c r="AI230" s="5"/>
    </row>
    <row r="231" spans="1:35" s="28" customFormat="1" ht="13.8" x14ac:dyDescent="0.3">
      <c r="A231" s="82"/>
      <c r="B231" s="76"/>
      <c r="C231" s="107"/>
      <c r="D231" s="86"/>
      <c r="E231" s="76"/>
      <c r="F231" s="85"/>
      <c r="G231" s="76"/>
      <c r="H231" s="85"/>
      <c r="I231" s="80"/>
      <c r="J231" s="80"/>
      <c r="K231" s="76"/>
      <c r="L231" s="30"/>
      <c r="M231" s="27"/>
      <c r="N231" s="27"/>
      <c r="O231" s="27"/>
      <c r="P231" s="27"/>
      <c r="Q231" s="27"/>
      <c r="R231" s="27"/>
      <c r="S231" s="27"/>
      <c r="T231" s="27"/>
      <c r="U231" s="30"/>
      <c r="V231" s="40"/>
      <c r="W231" s="40"/>
      <c r="X231" s="40">
        <v>11</v>
      </c>
      <c r="Y231" s="5">
        <f t="shared" si="13"/>
        <v>12.138846732700763</v>
      </c>
      <c r="Z231" s="18">
        <f t="shared" si="14"/>
        <v>10.673999999999999</v>
      </c>
      <c r="AA231" s="51"/>
      <c r="AB231" s="40">
        <f>AB227</f>
        <v>48.223350253807105</v>
      </c>
      <c r="AC231" s="18">
        <v>0</v>
      </c>
      <c r="AD231" s="5"/>
      <c r="AE231" s="5"/>
      <c r="AF231" s="5"/>
      <c r="AG231" s="5"/>
      <c r="AH231" s="51"/>
      <c r="AI231" s="5"/>
    </row>
    <row r="232" spans="1:35" s="28" customFormat="1" ht="13.8" x14ac:dyDescent="0.3">
      <c r="A232" s="76"/>
      <c r="B232" s="76"/>
      <c r="C232" s="86"/>
      <c r="D232" s="87"/>
      <c r="E232" s="76"/>
      <c r="F232" s="87"/>
      <c r="G232" s="76"/>
      <c r="H232" s="87"/>
      <c r="I232" s="80"/>
      <c r="J232" s="80"/>
      <c r="K232" s="76"/>
      <c r="L232" s="30"/>
      <c r="M232" s="27"/>
      <c r="N232" s="27"/>
      <c r="O232" s="27"/>
      <c r="P232" s="27"/>
      <c r="Q232" s="27"/>
      <c r="R232" s="27"/>
      <c r="S232" s="27"/>
      <c r="T232" s="27"/>
      <c r="U232" s="30"/>
      <c r="V232" s="40"/>
      <c r="W232" s="40"/>
      <c r="X232" s="40">
        <v>13</v>
      </c>
      <c r="Y232" s="5">
        <f t="shared" si="13"/>
        <v>13.196317668198201</v>
      </c>
      <c r="Z232" s="18">
        <f t="shared" si="14"/>
        <v>11.742000000000001</v>
      </c>
      <c r="AA232" s="18"/>
      <c r="AB232" s="40">
        <f>AB231</f>
        <v>48.223350253807105</v>
      </c>
      <c r="AC232" s="18">
        <f>AC227</f>
        <v>25.751269035532996</v>
      </c>
      <c r="AD232" s="18"/>
      <c r="AE232" s="18"/>
      <c r="AF232" s="18"/>
      <c r="AG232" s="18"/>
      <c r="AH232" s="51"/>
      <c r="AI232" s="5"/>
    </row>
    <row r="233" spans="1:35" s="28" customFormat="1" ht="13.8" x14ac:dyDescent="0.3">
      <c r="A233" s="82"/>
      <c r="B233" s="76"/>
      <c r="C233" s="86"/>
      <c r="D233" s="87"/>
      <c r="E233" s="76"/>
      <c r="F233" s="87"/>
      <c r="G233" s="76"/>
      <c r="H233" s="87"/>
      <c r="I233" s="80"/>
      <c r="J233" s="80"/>
      <c r="K233" s="76"/>
      <c r="L233" s="30"/>
      <c r="M233" s="27"/>
      <c r="N233" s="27"/>
      <c r="O233" s="27"/>
      <c r="P233" s="27"/>
      <c r="Q233" s="27"/>
      <c r="R233" s="27"/>
      <c r="S233" s="27"/>
      <c r="T233" s="27"/>
      <c r="U233" s="30"/>
      <c r="V233" s="40"/>
      <c r="W233" s="40"/>
      <c r="X233" s="40">
        <v>15</v>
      </c>
      <c r="Y233" s="5">
        <f t="shared" si="13"/>
        <v>14.175119047119146</v>
      </c>
      <c r="Z233" s="18">
        <f t="shared" si="14"/>
        <v>12.809999999999999</v>
      </c>
      <c r="AA233" s="52"/>
      <c r="AB233" s="18">
        <v>0</v>
      </c>
      <c r="AC233" s="18">
        <f>AC227</f>
        <v>25.751269035532996</v>
      </c>
      <c r="AD233" s="18"/>
      <c r="AE233" s="18"/>
      <c r="AF233" s="18"/>
      <c r="AG233" s="18"/>
      <c r="AH233" s="51"/>
      <c r="AI233" s="5"/>
    </row>
    <row r="234" spans="1:35" s="28" customFormat="1" ht="13.8" x14ac:dyDescent="0.3">
      <c r="A234" s="82"/>
      <c r="B234" s="82"/>
      <c r="C234" s="86"/>
      <c r="D234" s="87"/>
      <c r="E234" s="76"/>
      <c r="F234" s="87"/>
      <c r="G234" s="76"/>
      <c r="H234" s="87"/>
      <c r="I234" s="80"/>
      <c r="J234" s="80"/>
      <c r="K234" s="76"/>
      <c r="L234" s="30"/>
      <c r="M234" s="27"/>
      <c r="N234" s="27"/>
      <c r="O234" s="27"/>
      <c r="P234" s="27"/>
      <c r="Q234" s="27"/>
      <c r="R234" s="27"/>
      <c r="S234" s="27"/>
      <c r="T234" s="27"/>
      <c r="U234" s="30"/>
      <c r="V234" s="40"/>
      <c r="W234" s="40"/>
      <c r="X234" s="40">
        <v>17</v>
      </c>
      <c r="Y234" s="5">
        <f t="shared" si="13"/>
        <v>15.090566589760638</v>
      </c>
      <c r="Z234" s="18">
        <f t="shared" si="14"/>
        <v>13.878</v>
      </c>
      <c r="AA234" s="52"/>
      <c r="AB234" s="18"/>
      <c r="AC234" s="18"/>
      <c r="AD234" s="18"/>
      <c r="AE234" s="18"/>
      <c r="AF234" s="18"/>
      <c r="AG234" s="18"/>
      <c r="AH234" s="5"/>
      <c r="AI234" s="5"/>
    </row>
    <row r="235" spans="1:35" s="28" customFormat="1" ht="13.8" x14ac:dyDescent="0.3">
      <c r="A235" s="82"/>
      <c r="B235" s="82"/>
      <c r="C235" s="86"/>
      <c r="D235" s="87"/>
      <c r="E235" s="76"/>
      <c r="F235" s="87"/>
      <c r="G235" s="76"/>
      <c r="H235" s="87"/>
      <c r="I235" s="80"/>
      <c r="J235" s="80"/>
      <c r="K235" s="82"/>
      <c r="L235" s="30"/>
      <c r="M235" s="27"/>
      <c r="N235" s="27"/>
      <c r="O235" s="27"/>
      <c r="P235" s="27"/>
      <c r="Q235" s="27"/>
      <c r="R235" s="27"/>
      <c r="S235" s="27"/>
      <c r="T235" s="27"/>
      <c r="U235" s="30"/>
      <c r="V235" s="40"/>
      <c r="W235" s="40"/>
      <c r="X235" s="40">
        <v>21</v>
      </c>
      <c r="Y235" s="5">
        <f t="shared" si="13"/>
        <v>16.772227043538376</v>
      </c>
      <c r="Z235" s="18">
        <f t="shared" si="14"/>
        <v>16.013999999999999</v>
      </c>
      <c r="AA235" s="18"/>
      <c r="AB235" s="40">
        <f>AB231</f>
        <v>48.223350253807105</v>
      </c>
      <c r="AC235" s="18">
        <f>-AC231</f>
        <v>0</v>
      </c>
      <c r="AD235" s="18"/>
      <c r="AE235" s="18"/>
      <c r="AF235" s="18"/>
      <c r="AG235" s="18"/>
      <c r="AH235" s="5"/>
      <c r="AI235" s="5"/>
    </row>
    <row r="236" spans="1:35" s="28" customFormat="1" ht="13.8" x14ac:dyDescent="0.3">
      <c r="A236" s="82"/>
      <c r="B236" s="82"/>
      <c r="C236" s="86"/>
      <c r="D236" s="87"/>
      <c r="E236" s="76"/>
      <c r="F236" s="87"/>
      <c r="G236" s="76"/>
      <c r="H236" s="87"/>
      <c r="I236" s="80"/>
      <c r="J236" s="80"/>
      <c r="K236" s="82"/>
      <c r="L236" s="30"/>
      <c r="M236" s="27"/>
      <c r="N236" s="27"/>
      <c r="O236" s="27"/>
      <c r="P236" s="27"/>
      <c r="Q236" s="27"/>
      <c r="R236" s="27"/>
      <c r="S236" s="27"/>
      <c r="T236" s="27"/>
      <c r="U236" s="30"/>
      <c r="V236" s="40"/>
      <c r="W236" s="40"/>
      <c r="X236" s="40">
        <v>25</v>
      </c>
      <c r="Y236" s="5">
        <f t="shared" si="13"/>
        <v>18.3</v>
      </c>
      <c r="Z236" s="18">
        <f t="shared" si="14"/>
        <v>18.150000000000002</v>
      </c>
      <c r="AA236" s="18"/>
      <c r="AB236" s="40">
        <f>AB232</f>
        <v>48.223350253807105</v>
      </c>
      <c r="AC236" s="18">
        <f>AD227</f>
        <v>30.551269035532997</v>
      </c>
      <c r="AD236" s="18"/>
      <c r="AE236" s="18"/>
      <c r="AF236" s="18"/>
      <c r="AG236" s="18"/>
      <c r="AH236" s="5"/>
      <c r="AI236" s="5"/>
    </row>
    <row r="237" spans="1:35" s="28" customFormat="1" ht="13.8" x14ac:dyDescent="0.3">
      <c r="A237" s="76"/>
      <c r="B237" s="76"/>
      <c r="C237" s="76"/>
      <c r="D237" s="76"/>
      <c r="E237" s="76"/>
      <c r="F237" s="76"/>
      <c r="G237" s="76"/>
      <c r="H237" s="76"/>
      <c r="I237" s="76"/>
      <c r="J237" s="76"/>
      <c r="K237" s="76"/>
      <c r="L237" s="30"/>
      <c r="M237" s="27"/>
      <c r="N237" s="27"/>
      <c r="O237" s="27"/>
      <c r="P237" s="27"/>
      <c r="Q237" s="27"/>
      <c r="R237" s="27"/>
      <c r="S237" s="27"/>
      <c r="T237" s="27"/>
      <c r="U237" s="30"/>
      <c r="V237" s="40"/>
      <c r="W237" s="40"/>
      <c r="X237" s="40">
        <v>29</v>
      </c>
      <c r="Y237" s="5">
        <f t="shared" si="13"/>
        <v>19.709703194112283</v>
      </c>
      <c r="Z237" s="18">
        <f t="shared" si="14"/>
        <v>20.286000000000001</v>
      </c>
      <c r="AA237" s="5"/>
      <c r="AB237" s="18">
        <f>-AB233</f>
        <v>0</v>
      </c>
      <c r="AC237" s="52">
        <f>AD227</f>
        <v>30.551269035532997</v>
      </c>
      <c r="AD237" s="51"/>
      <c r="AE237" s="51"/>
      <c r="AF237" s="51"/>
      <c r="AG237" s="51"/>
      <c r="AH237" s="51"/>
      <c r="AI237" s="23"/>
    </row>
    <row r="238" spans="1:35" s="28" customFormat="1" ht="13.8" x14ac:dyDescent="0.3">
      <c r="A238" s="76"/>
      <c r="B238" s="76"/>
      <c r="C238" s="76"/>
      <c r="D238" s="76"/>
      <c r="E238" s="76"/>
      <c r="F238" s="76"/>
      <c r="G238" s="76"/>
      <c r="H238" s="76"/>
      <c r="I238" s="76"/>
      <c r="J238" s="76"/>
      <c r="K238" s="76"/>
      <c r="L238" s="30"/>
      <c r="M238" s="27"/>
      <c r="N238" s="27"/>
      <c r="O238" s="27"/>
      <c r="P238" s="27"/>
      <c r="Q238" s="27"/>
      <c r="R238" s="27"/>
      <c r="S238" s="27"/>
      <c r="T238" s="27"/>
      <c r="U238" s="30"/>
      <c r="V238" s="40"/>
      <c r="W238" s="40"/>
      <c r="X238" s="40">
        <v>33</v>
      </c>
      <c r="Y238" s="5">
        <f t="shared" si="13"/>
        <v>21.025099286329187</v>
      </c>
      <c r="Z238" s="18">
        <f t="shared" si="14"/>
        <v>22.422000000000001</v>
      </c>
      <c r="AA238" s="18"/>
      <c r="AB238" s="18"/>
      <c r="AC238" s="18"/>
      <c r="AD238" s="5"/>
      <c r="AE238" s="45"/>
      <c r="AF238" s="45"/>
      <c r="AG238" s="45"/>
      <c r="AH238" s="45"/>
      <c r="AI238" s="44"/>
    </row>
    <row r="239" spans="1:35" s="28" customFormat="1" ht="13.8" x14ac:dyDescent="0.3">
      <c r="A239" s="83"/>
      <c r="B239" s="80"/>
      <c r="C239" s="80"/>
      <c r="D239" s="88"/>
      <c r="E239" s="76"/>
      <c r="F239" s="76"/>
      <c r="G239" s="76"/>
      <c r="H239" s="76"/>
      <c r="I239" s="76"/>
      <c r="J239" s="76"/>
      <c r="K239" s="76"/>
      <c r="L239" s="30"/>
      <c r="M239" s="27"/>
      <c r="N239" s="27"/>
      <c r="O239" s="27"/>
      <c r="P239" s="27"/>
      <c r="Q239" s="27"/>
      <c r="R239" s="27"/>
      <c r="S239" s="27"/>
      <c r="T239" s="27"/>
      <c r="U239" s="30"/>
      <c r="V239" s="40"/>
      <c r="W239" s="40"/>
      <c r="X239" s="40">
        <v>37</v>
      </c>
      <c r="Y239" s="5">
        <f t="shared" si="13"/>
        <v>22.262910860891484</v>
      </c>
      <c r="Z239" s="18">
        <f t="shared" si="14"/>
        <v>24.558000000000003</v>
      </c>
      <c r="AA239" s="18"/>
      <c r="AB239" s="18"/>
      <c r="AC239" s="18"/>
      <c r="AD239" s="18"/>
      <c r="AE239" s="45"/>
      <c r="AF239" s="45"/>
      <c r="AG239" s="45"/>
      <c r="AH239" s="45"/>
      <c r="AI239" s="44"/>
    </row>
    <row r="240" spans="1:35" s="28" customFormat="1" ht="13.8" x14ac:dyDescent="0.3">
      <c r="A240" s="79"/>
      <c r="B240" s="89"/>
      <c r="C240" s="90"/>
      <c r="D240" s="91"/>
      <c r="E240" s="76"/>
      <c r="F240" s="79"/>
      <c r="G240" s="81"/>
      <c r="H240" s="76"/>
      <c r="I240" s="80"/>
      <c r="J240" s="76"/>
      <c r="K240" s="76"/>
      <c r="L240" s="30"/>
      <c r="M240" s="27"/>
      <c r="N240" s="27"/>
      <c r="O240" s="27"/>
      <c r="P240" s="27"/>
      <c r="Q240" s="27"/>
      <c r="R240" s="27"/>
      <c r="S240" s="27"/>
      <c r="T240" s="27"/>
      <c r="U240" s="30"/>
      <c r="V240" s="40"/>
      <c r="W240" s="40"/>
      <c r="X240" s="40">
        <v>41</v>
      </c>
      <c r="Y240" s="5">
        <f t="shared" si="13"/>
        <v>23.435434709004227</v>
      </c>
      <c r="Z240" s="18">
        <f t="shared" si="14"/>
        <v>26.694000000000003</v>
      </c>
      <c r="AA240" s="18"/>
      <c r="AB240" s="18"/>
      <c r="AC240" s="18"/>
      <c r="AD240" s="18"/>
      <c r="AE240" s="45"/>
      <c r="AF240" s="45"/>
      <c r="AG240" s="45"/>
      <c r="AH240" s="45"/>
      <c r="AI240" s="44"/>
    </row>
    <row r="241" spans="1:35" s="28" customFormat="1" ht="13.8" x14ac:dyDescent="0.3">
      <c r="A241" s="83"/>
      <c r="B241" s="80"/>
      <c r="C241" s="80"/>
      <c r="D241" s="91"/>
      <c r="E241" s="76"/>
      <c r="F241" s="79"/>
      <c r="G241" s="76"/>
      <c r="H241" s="76"/>
      <c r="I241" s="80"/>
      <c r="J241" s="84"/>
      <c r="K241" s="84"/>
      <c r="L241" s="30"/>
      <c r="M241" s="27"/>
      <c r="N241" s="27"/>
      <c r="O241" s="27"/>
      <c r="P241" s="27"/>
      <c r="Q241" s="27"/>
      <c r="R241" s="27"/>
      <c r="S241" s="27"/>
      <c r="T241" s="27"/>
      <c r="U241" s="30"/>
      <c r="V241" s="40"/>
      <c r="W241" s="40"/>
      <c r="X241" s="40">
        <f>X240+2</f>
        <v>43</v>
      </c>
      <c r="Y241" s="5">
        <f t="shared" si="13"/>
        <v>24.000224998945324</v>
      </c>
      <c r="Z241" s="18">
        <f t="shared" si="14"/>
        <v>27.762</v>
      </c>
      <c r="AA241" s="18"/>
      <c r="AB241" s="18"/>
      <c r="AC241" s="18"/>
      <c r="AD241" s="5"/>
      <c r="AE241" s="45"/>
      <c r="AF241" s="45"/>
      <c r="AG241" s="45"/>
      <c r="AH241" s="45"/>
      <c r="AI241" s="44"/>
    </row>
    <row r="242" spans="1:35" s="28" customFormat="1" ht="13.8" x14ac:dyDescent="0.3">
      <c r="A242" s="83"/>
      <c r="B242" s="92"/>
      <c r="C242" s="76"/>
      <c r="D242" s="76"/>
      <c r="E242" s="76"/>
      <c r="F242" s="83"/>
      <c r="G242" s="84"/>
      <c r="H242" s="76"/>
      <c r="I242" s="80"/>
      <c r="J242" s="84"/>
      <c r="K242" s="84"/>
      <c r="L242" s="30"/>
      <c r="M242" s="27"/>
      <c r="N242" s="27"/>
      <c r="O242" s="27"/>
      <c r="P242" s="27"/>
      <c r="Q242" s="27"/>
      <c r="R242" s="27"/>
      <c r="S242" s="27"/>
      <c r="T242" s="27"/>
      <c r="U242" s="30"/>
      <c r="V242" s="40"/>
      <c r="W242" s="40"/>
      <c r="X242" s="40">
        <f t="shared" ref="X242:X244" si="15">X241+2</f>
        <v>45</v>
      </c>
      <c r="Y242" s="5">
        <f t="shared" si="13"/>
        <v>24.552026392947692</v>
      </c>
      <c r="Z242" s="18">
        <f t="shared" si="14"/>
        <v>28.830000000000002</v>
      </c>
      <c r="AA242" s="18"/>
      <c r="AB242" s="18"/>
      <c r="AC242" s="18"/>
      <c r="AD242" s="5"/>
      <c r="AE242" s="45"/>
      <c r="AF242" s="45"/>
      <c r="AG242" s="45"/>
      <c r="AH242" s="45"/>
      <c r="AI242" s="44"/>
    </row>
    <row r="243" spans="1:35" s="28" customFormat="1" ht="13.8" x14ac:dyDescent="0.3">
      <c r="A243" s="76"/>
      <c r="B243" s="80"/>
      <c r="C243" s="80"/>
      <c r="D243" s="93"/>
      <c r="E243" s="76"/>
      <c r="F243" s="83"/>
      <c r="G243" s="80"/>
      <c r="H243" s="80"/>
      <c r="I243" s="76"/>
      <c r="J243" s="76"/>
      <c r="K243" s="76"/>
      <c r="L243" s="30"/>
      <c r="M243" s="27"/>
      <c r="N243" s="27"/>
      <c r="O243" s="27"/>
      <c r="P243" s="27"/>
      <c r="Q243" s="27"/>
      <c r="R243" s="27"/>
      <c r="S243" s="27"/>
      <c r="T243" s="27"/>
      <c r="U243" s="30"/>
      <c r="V243" s="40"/>
      <c r="W243" s="40"/>
      <c r="X243" s="40">
        <f t="shared" si="15"/>
        <v>47</v>
      </c>
      <c r="Y243" s="5">
        <f t="shared" si="13"/>
        <v>25.098000000000003</v>
      </c>
      <c r="Z243" s="18">
        <f t="shared" si="14"/>
        <v>29.898000000000003</v>
      </c>
      <c r="AA243" s="5"/>
      <c r="AB243" s="5"/>
      <c r="AC243" s="5"/>
      <c r="AD243" s="40"/>
      <c r="AE243" s="43"/>
      <c r="AF243" s="54"/>
      <c r="AG243" s="42"/>
      <c r="AH243" s="5"/>
      <c r="AI243" s="5"/>
    </row>
    <row r="244" spans="1:35" s="28" customFormat="1" ht="13.8" x14ac:dyDescent="0.3">
      <c r="A244" s="76"/>
      <c r="B244" s="76"/>
      <c r="C244" s="76"/>
      <c r="D244" s="76"/>
      <c r="E244" s="76"/>
      <c r="F244" s="83"/>
      <c r="G244" s="80"/>
      <c r="H244" s="80"/>
      <c r="I244" s="76"/>
      <c r="J244" s="76"/>
      <c r="K244" s="76"/>
      <c r="L244" s="30"/>
      <c r="M244" s="27"/>
      <c r="N244" s="27"/>
      <c r="O244" s="27"/>
      <c r="P244" s="27"/>
      <c r="Q244" s="27"/>
      <c r="R244" s="27"/>
      <c r="S244" s="27"/>
      <c r="T244" s="27"/>
      <c r="U244" s="30"/>
      <c r="V244" s="40"/>
      <c r="W244" s="40"/>
      <c r="X244" s="40">
        <f t="shared" si="15"/>
        <v>49</v>
      </c>
      <c r="Y244" s="5">
        <f t="shared" si="13"/>
        <v>26.166</v>
      </c>
      <c r="Z244" s="18">
        <f t="shared" si="14"/>
        <v>30.966000000000001</v>
      </c>
      <c r="AA244" s="18"/>
      <c r="AB244" s="18"/>
      <c r="AC244" s="18"/>
      <c r="AD244" s="5"/>
      <c r="AE244" s="41"/>
      <c r="AF244" s="41"/>
      <c r="AG244" s="41"/>
      <c r="AH244" s="41"/>
      <c r="AI244" s="41"/>
    </row>
    <row r="245" spans="1:35" s="28" customFormat="1" ht="13.8" x14ac:dyDescent="0.3">
      <c r="A245" s="76"/>
      <c r="B245" s="94"/>
      <c r="C245" s="80"/>
      <c r="D245" s="93"/>
      <c r="E245" s="76"/>
      <c r="F245" s="76"/>
      <c r="G245" s="76"/>
      <c r="H245" s="76"/>
      <c r="I245" s="76"/>
      <c r="J245" s="76"/>
      <c r="K245" s="76"/>
      <c r="L245" s="30"/>
      <c r="M245" s="27"/>
      <c r="N245" s="27"/>
      <c r="O245" s="27"/>
      <c r="P245" s="27"/>
      <c r="Q245" s="27"/>
      <c r="R245" s="27"/>
      <c r="S245" s="27"/>
      <c r="T245" s="27"/>
      <c r="U245" s="30"/>
      <c r="V245" s="40"/>
      <c r="W245" s="40"/>
      <c r="X245" s="40">
        <f>X244+10</f>
        <v>59</v>
      </c>
      <c r="Y245" s="5">
        <f t="shared" si="13"/>
        <v>31.506</v>
      </c>
      <c r="Z245" s="18">
        <f t="shared" si="14"/>
        <v>36.305999999999997</v>
      </c>
      <c r="AA245" s="18"/>
      <c r="AB245" s="18"/>
      <c r="AC245" s="18"/>
      <c r="AD245" s="18"/>
      <c r="AE245" s="41"/>
      <c r="AF245" s="41"/>
      <c r="AG245" s="41"/>
      <c r="AH245" s="41"/>
      <c r="AI245" s="41"/>
    </row>
    <row r="246" spans="1:35" s="28" customFormat="1" ht="13.8" x14ac:dyDescent="0.3">
      <c r="A246" s="76"/>
      <c r="B246" s="76"/>
      <c r="C246" s="76"/>
      <c r="D246" s="76"/>
      <c r="E246" s="76"/>
      <c r="F246" s="76"/>
      <c r="G246" s="76"/>
      <c r="H246" s="76"/>
      <c r="I246" s="76"/>
      <c r="J246" s="76"/>
      <c r="K246" s="76"/>
      <c r="L246" s="30"/>
      <c r="M246" s="27"/>
      <c r="N246" s="27"/>
      <c r="O246" s="27"/>
      <c r="P246" s="27"/>
      <c r="Q246" s="27"/>
      <c r="R246" s="27"/>
      <c r="S246" s="27"/>
      <c r="T246" s="27"/>
      <c r="U246" s="30"/>
      <c r="V246" s="40"/>
      <c r="W246" s="40"/>
      <c r="X246" s="40">
        <f t="shared" ref="X246:X249" si="16">X245+10</f>
        <v>69</v>
      </c>
      <c r="Y246" s="5">
        <f t="shared" si="13"/>
        <v>36.846000000000004</v>
      </c>
      <c r="Z246" s="18">
        <f t="shared" si="14"/>
        <v>41.646000000000001</v>
      </c>
      <c r="AA246" s="18"/>
      <c r="AB246" s="18"/>
      <c r="AC246" s="18"/>
      <c r="AD246" s="5"/>
      <c r="AE246" s="41"/>
      <c r="AF246" s="41"/>
      <c r="AG246" s="41"/>
      <c r="AH246" s="41"/>
      <c r="AI246" s="41"/>
    </row>
    <row r="247" spans="1:35" s="28" customFormat="1" ht="13.8" x14ac:dyDescent="0.3">
      <c r="A247" s="83"/>
      <c r="B247" s="79"/>
      <c r="C247" s="76"/>
      <c r="D247" s="76"/>
      <c r="E247" s="76"/>
      <c r="F247" s="76"/>
      <c r="G247" s="76"/>
      <c r="H247" s="76"/>
      <c r="I247" s="76"/>
      <c r="J247" s="90"/>
      <c r="K247" s="76"/>
      <c r="L247" s="30"/>
      <c r="M247" s="27"/>
      <c r="N247" s="27"/>
      <c r="O247" s="27"/>
      <c r="P247" s="27"/>
      <c r="Q247" s="27"/>
      <c r="R247" s="27"/>
      <c r="S247" s="27"/>
      <c r="T247" s="27"/>
      <c r="U247" s="30"/>
      <c r="V247" s="40"/>
      <c r="W247" s="40"/>
      <c r="X247" s="40">
        <f t="shared" si="16"/>
        <v>79</v>
      </c>
      <c r="Y247" s="5">
        <f t="shared" si="13"/>
        <v>42.186</v>
      </c>
      <c r="Z247" s="18">
        <f t="shared" si="14"/>
        <v>46.985999999999997</v>
      </c>
      <c r="AA247" s="18"/>
      <c r="AB247" s="18"/>
      <c r="AC247" s="18"/>
      <c r="AD247" s="5"/>
      <c r="AE247" s="41"/>
      <c r="AF247" s="41"/>
      <c r="AG247" s="41"/>
      <c r="AH247" s="41"/>
      <c r="AI247" s="41"/>
    </row>
    <row r="248" spans="1:35" s="28" customFormat="1" ht="13.8" x14ac:dyDescent="0.3">
      <c r="A248" s="76"/>
      <c r="B248" s="95"/>
      <c r="C248" s="96"/>
      <c r="D248" s="91"/>
      <c r="E248" s="76"/>
      <c r="F248" s="76"/>
      <c r="G248" s="76"/>
      <c r="H248" s="76"/>
      <c r="I248" s="76"/>
      <c r="J248" s="76"/>
      <c r="K248" s="76"/>
      <c r="L248" s="30"/>
      <c r="M248" s="27"/>
      <c r="N248" s="27"/>
      <c r="O248" s="27"/>
      <c r="P248" s="27"/>
      <c r="Q248" s="27"/>
      <c r="R248" s="27"/>
      <c r="S248" s="27"/>
      <c r="T248" s="27"/>
      <c r="U248" s="30"/>
      <c r="V248" s="40"/>
      <c r="W248" s="40"/>
      <c r="X248" s="40">
        <f t="shared" si="16"/>
        <v>89</v>
      </c>
      <c r="Y248" s="5">
        <f t="shared" si="13"/>
        <v>47.526000000000003</v>
      </c>
      <c r="Z248" s="18">
        <f t="shared" si="14"/>
        <v>52.326000000000001</v>
      </c>
      <c r="AA248" s="18"/>
      <c r="AB248" s="18"/>
      <c r="AC248" s="18"/>
      <c r="AD248" s="5"/>
      <c r="AE248" s="41"/>
      <c r="AF248" s="41"/>
      <c r="AG248" s="41"/>
      <c r="AH248" s="41"/>
      <c r="AI248" s="41"/>
    </row>
    <row r="249" spans="1:35" s="28" customFormat="1" ht="13.8" x14ac:dyDescent="0.3">
      <c r="A249" s="76"/>
      <c r="B249" s="79"/>
      <c r="C249" s="81"/>
      <c r="D249" s="76"/>
      <c r="E249" s="76"/>
      <c r="F249" s="76"/>
      <c r="G249" s="76"/>
      <c r="H249" s="76"/>
      <c r="I249" s="76"/>
      <c r="J249" s="86"/>
      <c r="K249" s="76"/>
      <c r="L249" s="30"/>
      <c r="M249" s="27"/>
      <c r="N249" s="27"/>
      <c r="O249" s="27"/>
      <c r="P249" s="27"/>
      <c r="Q249" s="27"/>
      <c r="R249" s="27"/>
      <c r="S249" s="27"/>
      <c r="T249" s="27"/>
      <c r="U249" s="30"/>
      <c r="V249" s="40"/>
      <c r="W249" s="40"/>
      <c r="X249" s="40">
        <f t="shared" si="16"/>
        <v>99</v>
      </c>
      <c r="Y249" s="5">
        <f t="shared" si="13"/>
        <v>52.866</v>
      </c>
      <c r="Z249" s="18">
        <f t="shared" si="14"/>
        <v>57.665999999999997</v>
      </c>
      <c r="AA249" s="5"/>
      <c r="AB249" s="5"/>
      <c r="AC249" s="5"/>
      <c r="AD249" s="5"/>
      <c r="AE249" s="5"/>
      <c r="AF249" s="5"/>
      <c r="AG249" s="5"/>
      <c r="AH249" s="5"/>
      <c r="AI249" s="5"/>
    </row>
    <row r="250" spans="1:35" s="28" customFormat="1" ht="13.8" x14ac:dyDescent="0.3">
      <c r="A250" s="83"/>
      <c r="F250" s="83"/>
      <c r="G250" s="92"/>
      <c r="H250" s="76"/>
      <c r="I250" s="76"/>
      <c r="J250" s="76"/>
      <c r="K250" s="76"/>
      <c r="L250" s="30"/>
      <c r="M250" s="27"/>
      <c r="N250" s="27"/>
      <c r="O250" s="27"/>
      <c r="P250" s="27"/>
      <c r="Q250" s="27"/>
      <c r="R250" s="27"/>
      <c r="S250" s="27"/>
      <c r="T250" s="27"/>
      <c r="U250" s="30"/>
      <c r="V250" s="40"/>
      <c r="W250" s="40"/>
      <c r="X250" s="40">
        <f>X249+10</f>
        <v>109</v>
      </c>
      <c r="Y250" s="5">
        <f t="shared" si="13"/>
        <v>58.206000000000003</v>
      </c>
      <c r="Z250" s="18">
        <f t="shared" si="14"/>
        <v>63.006</v>
      </c>
      <c r="AA250" s="40"/>
      <c r="AB250" s="5"/>
      <c r="AC250" s="5"/>
      <c r="AD250" s="5"/>
      <c r="AE250" s="5"/>
      <c r="AF250" s="5"/>
      <c r="AG250" s="5"/>
      <c r="AH250" s="5"/>
      <c r="AI250" s="51"/>
    </row>
    <row r="251" spans="1:35" s="28" customFormat="1" ht="13.8" x14ac:dyDescent="0.3">
      <c r="A251" s="140" t="s">
        <v>113</v>
      </c>
      <c r="C251" s="76"/>
      <c r="D251" s="76"/>
      <c r="E251" s="79" t="s">
        <v>108</v>
      </c>
      <c r="F251" s="81">
        <f>AC232</f>
        <v>25.751269035532996</v>
      </c>
      <c r="G251" s="94" t="s">
        <v>109</v>
      </c>
      <c r="H251" s="80"/>
      <c r="I251" s="76"/>
      <c r="J251" s="76"/>
      <c r="K251" s="76"/>
      <c r="L251" s="30"/>
      <c r="M251" s="27"/>
      <c r="N251" s="27"/>
      <c r="O251" s="27"/>
      <c r="P251" s="27"/>
      <c r="Q251" s="27"/>
      <c r="R251" s="27"/>
      <c r="S251" s="27"/>
      <c r="T251" s="27"/>
      <c r="U251" s="30"/>
      <c r="V251" s="40"/>
      <c r="W251" s="40"/>
      <c r="X251" s="40">
        <v>120</v>
      </c>
      <c r="Y251" s="5">
        <f t="shared" si="13"/>
        <v>64.08</v>
      </c>
      <c r="Z251" s="18">
        <f t="shared" si="14"/>
        <v>68.88</v>
      </c>
      <c r="AA251" s="40"/>
      <c r="AB251" s="5"/>
      <c r="AC251" s="5"/>
      <c r="AD251" s="5"/>
      <c r="AE251" s="5"/>
      <c r="AF251" s="5"/>
      <c r="AG251" s="5"/>
      <c r="AH251" s="5"/>
      <c r="AI251" s="51"/>
    </row>
    <row r="252" spans="1:35" s="28" customFormat="1" ht="13.8" x14ac:dyDescent="0.3">
      <c r="A252" s="76"/>
      <c r="E252" s="138"/>
      <c r="F252" s="81"/>
      <c r="G252" s="76"/>
      <c r="H252" s="76"/>
      <c r="I252" s="76"/>
      <c r="J252" s="76"/>
      <c r="K252" s="76"/>
      <c r="L252" s="30"/>
      <c r="M252" s="27"/>
      <c r="N252" s="27"/>
      <c r="O252" s="27"/>
      <c r="P252" s="27"/>
      <c r="Q252" s="27"/>
      <c r="R252" s="27"/>
      <c r="S252" s="27"/>
      <c r="T252" s="27"/>
      <c r="U252" s="30"/>
      <c r="V252" s="40"/>
      <c r="W252" s="40"/>
      <c r="X252" s="30"/>
      <c r="Y252" s="18"/>
      <c r="Z252" s="18"/>
      <c r="AA252" s="40"/>
      <c r="AB252" s="5"/>
      <c r="AC252" s="5"/>
      <c r="AD252" s="5"/>
      <c r="AE252" s="5"/>
      <c r="AF252" s="5"/>
      <c r="AG252" s="5"/>
      <c r="AH252" s="5"/>
      <c r="AI252" s="51"/>
    </row>
    <row r="253" spans="1:35" s="28" customFormat="1" ht="13.8" x14ac:dyDescent="0.3">
      <c r="A253" s="141" t="s">
        <v>114</v>
      </c>
      <c r="C253" s="96"/>
      <c r="D253" s="91"/>
      <c r="E253" s="79" t="s">
        <v>107</v>
      </c>
      <c r="F253" s="139">
        <f>AC236</f>
        <v>30.551269035532997</v>
      </c>
      <c r="G253" s="94" t="s">
        <v>109</v>
      </c>
      <c r="H253" s="76"/>
      <c r="I253" s="76"/>
      <c r="J253" s="76"/>
      <c r="K253" s="76"/>
      <c r="L253" s="30"/>
      <c r="M253" s="27"/>
      <c r="N253" s="27"/>
      <c r="O253" s="27"/>
      <c r="P253" s="27"/>
      <c r="Q253" s="27"/>
      <c r="R253" s="27"/>
      <c r="S253" s="27"/>
      <c r="T253" s="27"/>
      <c r="U253" s="30"/>
      <c r="V253" s="40"/>
      <c r="W253" s="40"/>
      <c r="X253" s="30"/>
      <c r="Y253" s="18"/>
      <c r="Z253" s="5"/>
      <c r="AA253" s="40"/>
      <c r="AB253" s="5"/>
      <c r="AC253" s="5"/>
      <c r="AD253" s="5"/>
      <c r="AE253" s="5"/>
      <c r="AF253" s="5"/>
      <c r="AG253" s="5"/>
      <c r="AH253" s="5"/>
      <c r="AI253" s="51"/>
    </row>
    <row r="254" spans="1:35" s="28" customFormat="1" ht="13.8" x14ac:dyDescent="0.3">
      <c r="A254" s="76"/>
      <c r="B254" s="80"/>
      <c r="C254" s="99"/>
      <c r="D254" s="91"/>
      <c r="E254" s="86"/>
      <c r="F254" s="76"/>
      <c r="G254" s="99"/>
      <c r="H254" s="80"/>
      <c r="I254" s="100"/>
      <c r="J254" s="76"/>
      <c r="K254" s="76"/>
      <c r="L254" s="30"/>
      <c r="M254" s="27"/>
      <c r="N254" s="27"/>
      <c r="O254" s="27"/>
      <c r="P254" s="27"/>
      <c r="Q254" s="27"/>
      <c r="R254" s="27"/>
      <c r="S254" s="27"/>
      <c r="T254" s="27"/>
      <c r="U254" s="30"/>
      <c r="V254" s="40"/>
      <c r="W254" s="40"/>
      <c r="X254" s="30"/>
      <c r="Y254" s="18"/>
      <c r="Z254" s="5"/>
      <c r="AA254" s="40"/>
      <c r="AB254" s="5"/>
      <c r="AC254" s="5"/>
      <c r="AD254" s="5"/>
      <c r="AE254" s="5"/>
      <c r="AF254" s="5"/>
      <c r="AG254" s="5"/>
      <c r="AH254" s="5"/>
      <c r="AI254" s="5"/>
    </row>
    <row r="255" spans="1:35" s="28" customFormat="1" ht="13.8" x14ac:dyDescent="0.3">
      <c r="A255" s="76"/>
      <c r="B255" s="94"/>
      <c r="C255" s="98"/>
      <c r="D255" s="76"/>
      <c r="E255" s="76"/>
      <c r="F255" s="76"/>
      <c r="G255" s="76"/>
      <c r="H255" s="76"/>
      <c r="I255" s="76"/>
      <c r="J255" s="76"/>
      <c r="K255" s="76"/>
      <c r="L255" s="30"/>
      <c r="M255" s="27"/>
      <c r="N255" s="27"/>
      <c r="O255" s="27"/>
      <c r="P255" s="27"/>
      <c r="Q255" s="27"/>
      <c r="R255" s="27"/>
      <c r="S255" s="27"/>
      <c r="T255" s="27"/>
      <c r="U255" s="30"/>
      <c r="V255" s="40"/>
      <c r="W255" s="40"/>
      <c r="X255" s="30"/>
      <c r="Y255" s="5"/>
      <c r="Z255" s="5"/>
      <c r="AA255" s="5"/>
      <c r="AB255" s="5"/>
      <c r="AC255" s="5"/>
      <c r="AD255" s="5"/>
      <c r="AE255" s="5"/>
      <c r="AF255" s="5"/>
      <c r="AG255" s="5"/>
      <c r="AH255" s="51"/>
      <c r="AI255" s="5"/>
    </row>
    <row r="256" spans="1:35" s="28" customFormat="1" ht="13.8" x14ac:dyDescent="0.3">
      <c r="A256" s="76"/>
      <c r="B256" s="79"/>
      <c r="C256" s="101"/>
      <c r="D256" s="76"/>
      <c r="E256" s="76"/>
      <c r="F256" s="85"/>
      <c r="G256" s="76"/>
      <c r="H256" s="76"/>
      <c r="I256" s="85"/>
      <c r="J256" s="76"/>
      <c r="K256" s="76"/>
      <c r="L256" s="30"/>
      <c r="M256" s="27"/>
      <c r="N256" s="27"/>
      <c r="O256" s="27"/>
      <c r="P256" s="27"/>
      <c r="Q256" s="27"/>
      <c r="R256" s="27"/>
      <c r="S256" s="27"/>
      <c r="T256" s="27"/>
      <c r="U256" s="30"/>
      <c r="V256" s="40"/>
      <c r="W256" s="40"/>
      <c r="X256" s="30"/>
      <c r="Y256" s="18"/>
      <c r="Z256" s="5"/>
      <c r="AA256" s="55"/>
      <c r="AB256" s="5"/>
      <c r="AC256" s="5"/>
      <c r="AD256" s="5"/>
      <c r="AE256" s="5"/>
      <c r="AF256" s="5"/>
      <c r="AG256" s="5"/>
      <c r="AH256" s="5"/>
      <c r="AI256" s="5"/>
    </row>
    <row r="257" spans="1:35" s="28" customFormat="1" ht="13.8" x14ac:dyDescent="0.3">
      <c r="A257" s="76"/>
      <c r="B257" s="79"/>
      <c r="C257" s="102"/>
      <c r="D257" s="76"/>
      <c r="E257" s="77"/>
      <c r="F257" s="85"/>
      <c r="G257" s="76"/>
      <c r="H257" s="76"/>
      <c r="I257" s="85"/>
      <c r="J257" s="76"/>
      <c r="K257" s="76"/>
      <c r="L257" s="30"/>
      <c r="M257" s="27"/>
      <c r="N257" s="27"/>
      <c r="O257" s="27"/>
      <c r="P257" s="27"/>
      <c r="Q257" s="27"/>
      <c r="R257" s="27"/>
      <c r="S257" s="27"/>
      <c r="T257" s="27"/>
      <c r="U257" s="30"/>
      <c r="V257" s="40"/>
      <c r="W257" s="40"/>
      <c r="X257" s="30"/>
      <c r="Y257" s="52"/>
      <c r="Z257" s="5"/>
      <c r="AA257" s="41"/>
      <c r="AB257" s="5"/>
      <c r="AC257" s="5"/>
      <c r="AD257" s="5"/>
      <c r="AE257" s="5"/>
      <c r="AF257" s="5"/>
      <c r="AG257" s="5"/>
      <c r="AH257" s="5"/>
      <c r="AI257" s="5"/>
    </row>
    <row r="258" spans="1:35" s="28" customFormat="1" ht="13.8" x14ac:dyDescent="0.3">
      <c r="A258" s="76"/>
      <c r="B258" s="77"/>
      <c r="C258" s="77"/>
      <c r="D258" s="85"/>
      <c r="E258" s="77"/>
      <c r="F258" s="85"/>
      <c r="G258" s="76"/>
      <c r="H258" s="76"/>
      <c r="I258" s="85"/>
      <c r="J258" s="76"/>
      <c r="K258" s="76"/>
      <c r="L258" s="30"/>
      <c r="M258" s="27"/>
      <c r="N258" s="27"/>
      <c r="O258" s="27"/>
      <c r="P258" s="27"/>
      <c r="Q258" s="27"/>
      <c r="R258" s="27"/>
      <c r="S258" s="27"/>
      <c r="T258" s="27"/>
      <c r="U258" s="30"/>
      <c r="V258" s="40"/>
      <c r="W258" s="40"/>
      <c r="X258" s="30"/>
      <c r="Y258" s="52"/>
      <c r="Z258" s="18"/>
      <c r="AA258" s="41"/>
      <c r="AB258" s="5"/>
      <c r="AC258" s="5"/>
      <c r="AD258" s="5"/>
      <c r="AE258" s="5"/>
      <c r="AF258" s="5"/>
      <c r="AG258" s="5"/>
      <c r="AH258" s="5"/>
      <c r="AI258" s="5"/>
    </row>
    <row r="259" spans="1:35" s="28" customFormat="1" ht="13.8" x14ac:dyDescent="0.3">
      <c r="A259" s="76"/>
      <c r="B259" s="103"/>
      <c r="C259" s="85"/>
      <c r="D259" s="85"/>
      <c r="E259" s="77"/>
      <c r="F259" s="85"/>
      <c r="G259" s="76"/>
      <c r="H259" s="76"/>
      <c r="I259" s="85"/>
      <c r="J259" s="76"/>
      <c r="K259" s="76"/>
      <c r="L259" s="30"/>
      <c r="M259" s="27"/>
      <c r="N259" s="27"/>
      <c r="O259" s="27"/>
      <c r="P259" s="27"/>
      <c r="Q259" s="27"/>
      <c r="R259" s="27"/>
      <c r="S259" s="27"/>
      <c r="T259" s="27"/>
      <c r="U259" s="30"/>
      <c r="V259" s="40"/>
      <c r="W259" s="40"/>
      <c r="X259" s="30"/>
      <c r="Y259" s="18"/>
      <c r="Z259" s="51"/>
      <c r="AA259" s="55"/>
      <c r="AB259" s="51"/>
      <c r="AC259" s="5"/>
      <c r="AD259" s="5"/>
      <c r="AE259" s="5"/>
      <c r="AF259" s="5"/>
      <c r="AG259" s="5"/>
      <c r="AH259" s="5"/>
      <c r="AI259" s="5"/>
    </row>
    <row r="260" spans="1:35" s="28" customFormat="1" ht="13.8" x14ac:dyDescent="0.3">
      <c r="A260" s="76"/>
      <c r="B260" s="85"/>
      <c r="C260" s="85"/>
      <c r="D260" s="77"/>
      <c r="E260" s="85"/>
      <c r="F260" s="76"/>
      <c r="G260" s="76"/>
      <c r="H260" s="85"/>
      <c r="I260" s="76"/>
      <c r="J260" s="76"/>
      <c r="K260" s="76"/>
      <c r="L260" s="30"/>
      <c r="M260" s="27"/>
      <c r="N260" s="27"/>
      <c r="O260" s="27"/>
      <c r="P260" s="27"/>
      <c r="Q260" s="27"/>
      <c r="R260" s="27"/>
      <c r="S260" s="27"/>
      <c r="T260" s="27"/>
      <c r="U260" s="30"/>
      <c r="V260" s="40"/>
      <c r="W260" s="40"/>
      <c r="X260" s="30"/>
      <c r="Y260" s="18"/>
      <c r="Z260" s="5"/>
      <c r="AA260" s="41"/>
      <c r="AB260" s="5"/>
      <c r="AC260" s="5"/>
      <c r="AD260" s="5"/>
      <c r="AE260" s="5"/>
      <c r="AF260" s="5"/>
      <c r="AG260" s="5"/>
      <c r="AH260" s="5"/>
      <c r="AI260" s="5"/>
    </row>
    <row r="261" spans="1:35" s="28" customFormat="1" ht="13.8" x14ac:dyDescent="0.3">
      <c r="A261" s="5"/>
      <c r="B261" s="5"/>
      <c r="C261" s="46"/>
      <c r="D261" s="46"/>
      <c r="E261" s="46"/>
      <c r="F261" s="46"/>
      <c r="G261" s="5"/>
      <c r="H261" s="46"/>
      <c r="I261" s="46"/>
      <c r="J261" s="5"/>
      <c r="K261" s="5"/>
      <c r="L261" s="30"/>
      <c r="M261" s="27"/>
      <c r="N261" s="27"/>
      <c r="O261" s="27"/>
      <c r="P261" s="27"/>
      <c r="Q261" s="27"/>
      <c r="R261" s="27"/>
      <c r="S261" s="27"/>
      <c r="T261" s="27"/>
      <c r="U261" s="30"/>
      <c r="V261" s="40"/>
      <c r="W261" s="40"/>
      <c r="X261" s="30"/>
      <c r="Y261" s="5"/>
      <c r="Z261" s="5"/>
      <c r="AA261" s="5"/>
      <c r="AB261" s="5"/>
      <c r="AC261" s="5"/>
      <c r="AD261" s="5"/>
      <c r="AE261" s="5"/>
      <c r="AF261" s="5"/>
      <c r="AG261" s="5"/>
      <c r="AH261" s="5"/>
      <c r="AI261" s="5"/>
    </row>
    <row r="262" spans="1:35" s="28" customFormat="1" ht="13.8" x14ac:dyDescent="0.3">
      <c r="A262" s="5"/>
      <c r="B262" s="46"/>
      <c r="C262" s="53"/>
      <c r="D262" s="43"/>
      <c r="E262" s="49"/>
      <c r="F262" s="40"/>
      <c r="G262" s="5"/>
      <c r="H262" s="49"/>
      <c r="I262" s="40"/>
      <c r="J262" s="47"/>
      <c r="K262" s="47"/>
      <c r="L262" s="30"/>
      <c r="M262" s="27"/>
      <c r="N262" s="27"/>
      <c r="O262" s="27"/>
      <c r="P262" s="27"/>
      <c r="Q262" s="27"/>
      <c r="R262" s="27"/>
      <c r="S262" s="27"/>
      <c r="T262" s="27"/>
      <c r="U262" s="30"/>
      <c r="V262" s="40"/>
      <c r="W262" s="40"/>
      <c r="X262" s="30"/>
    </row>
    <row r="263" spans="1:35" s="28" customFormat="1" ht="13.8" x14ac:dyDescent="0.3">
      <c r="A263" s="5"/>
      <c r="B263" s="46"/>
      <c r="C263" s="53"/>
      <c r="D263" s="43"/>
      <c r="E263" s="49"/>
      <c r="F263" s="40"/>
      <c r="G263" s="5"/>
      <c r="H263" s="49"/>
      <c r="I263" s="40"/>
      <c r="J263" s="47"/>
      <c r="K263" s="47"/>
      <c r="L263" s="30"/>
      <c r="M263" s="27"/>
      <c r="N263" s="27"/>
      <c r="O263" s="27"/>
      <c r="P263" s="27"/>
      <c r="Q263" s="27"/>
      <c r="R263" s="27"/>
      <c r="S263" s="27"/>
      <c r="T263" s="27"/>
      <c r="U263" s="30"/>
      <c r="V263" s="40"/>
      <c r="W263" s="40"/>
      <c r="X263" s="30"/>
    </row>
    <row r="264" spans="1:35" s="28" customFormat="1" ht="13.8" x14ac:dyDescent="0.3">
      <c r="A264" s="5"/>
      <c r="B264" s="46"/>
      <c r="C264" s="53"/>
      <c r="D264" s="43"/>
      <c r="E264" s="49"/>
      <c r="F264" s="40"/>
      <c r="G264" s="5"/>
      <c r="H264" s="49"/>
      <c r="I264" s="40"/>
      <c r="J264" s="47"/>
      <c r="K264" s="47"/>
      <c r="L264" s="30"/>
      <c r="M264" s="27"/>
      <c r="N264" s="27"/>
      <c r="O264" s="27"/>
      <c r="P264" s="27"/>
      <c r="Q264" s="27"/>
      <c r="R264" s="27"/>
      <c r="S264" s="27"/>
      <c r="T264" s="27"/>
      <c r="U264" s="30"/>
      <c r="V264" s="56"/>
      <c r="W264" s="40"/>
      <c r="X264" s="30"/>
    </row>
    <row r="265" spans="1:35" s="28" customFormat="1" ht="13.8" x14ac:dyDescent="0.3">
      <c r="A265" s="5"/>
      <c r="B265" s="46"/>
      <c r="C265" s="53"/>
      <c r="D265" s="43"/>
      <c r="E265" s="49"/>
      <c r="F265" s="40"/>
      <c r="G265" s="5"/>
      <c r="H265" s="49"/>
      <c r="I265" s="40"/>
      <c r="J265" s="47"/>
      <c r="K265" s="47"/>
      <c r="L265" s="30"/>
      <c r="M265" s="27"/>
      <c r="N265" s="27"/>
      <c r="O265" s="27"/>
      <c r="P265" s="27"/>
      <c r="Q265" s="27"/>
      <c r="R265" s="27"/>
      <c r="S265" s="27"/>
      <c r="T265" s="27"/>
      <c r="U265" s="30"/>
      <c r="V265" s="5"/>
      <c r="W265" s="5"/>
      <c r="X265" s="30"/>
    </row>
    <row r="266" spans="1:35" s="28" customFormat="1" ht="13.8" x14ac:dyDescent="0.3">
      <c r="A266" s="58"/>
      <c r="B266" s="59"/>
      <c r="C266" s="60"/>
      <c r="D266" s="58"/>
      <c r="E266" s="58"/>
      <c r="F266" s="58"/>
      <c r="G266" s="60"/>
      <c r="H266" s="58"/>
      <c r="I266" s="58"/>
      <c r="J266" s="58"/>
      <c r="K266" s="58"/>
      <c r="L266" s="30"/>
      <c r="M266" s="27"/>
      <c r="N266" s="27"/>
      <c r="O266" s="27"/>
      <c r="P266" s="27"/>
      <c r="Q266" s="27"/>
      <c r="R266" s="27"/>
      <c r="S266" s="27"/>
      <c r="T266" s="27"/>
      <c r="U266" s="30"/>
      <c r="V266" s="30"/>
      <c r="W266" s="30"/>
      <c r="X266" s="30"/>
    </row>
    <row r="267" spans="1:35" s="28" customFormat="1" ht="13.8" x14ac:dyDescent="0.3">
      <c r="A267" s="58"/>
      <c r="B267" s="61"/>
      <c r="C267" s="60"/>
      <c r="D267" s="62"/>
      <c r="E267" s="62"/>
      <c r="F267" s="63" t="s">
        <v>35</v>
      </c>
      <c r="G267" s="60"/>
      <c r="H267" s="62"/>
      <c r="I267" s="62"/>
      <c r="J267" s="62"/>
      <c r="K267" s="58"/>
      <c r="L267" s="30"/>
      <c r="M267" s="27"/>
      <c r="N267" s="27"/>
      <c r="O267" s="27"/>
      <c r="P267" s="27"/>
      <c r="Q267" s="27"/>
      <c r="R267" s="27"/>
      <c r="S267" s="27"/>
      <c r="T267" s="27"/>
      <c r="U267" s="30"/>
      <c r="V267" s="30"/>
      <c r="W267" s="30"/>
      <c r="X267" s="30"/>
    </row>
    <row r="268" spans="1:35" s="28" customFormat="1" ht="13.8" x14ac:dyDescent="0.3">
      <c r="A268" s="58"/>
      <c r="B268" s="62"/>
      <c r="C268" s="62"/>
      <c r="D268" s="62"/>
      <c r="E268" s="62"/>
      <c r="F268" s="149" t="s">
        <v>118</v>
      </c>
      <c r="G268" s="62"/>
      <c r="H268" s="62"/>
      <c r="I268" s="62"/>
      <c r="J268" s="62"/>
      <c r="K268" s="58"/>
      <c r="L268" s="30"/>
      <c r="M268" s="27"/>
      <c r="N268" s="27"/>
      <c r="O268" s="27"/>
      <c r="P268" s="27"/>
      <c r="Q268" s="27"/>
      <c r="R268" s="27"/>
      <c r="S268" s="27"/>
      <c r="T268" s="27"/>
      <c r="U268" s="30"/>
      <c r="V268" s="30"/>
      <c r="W268" s="30"/>
      <c r="X268" s="30"/>
    </row>
    <row r="269" spans="1:35" s="5" customFormat="1" ht="13.8" x14ac:dyDescent="0.3">
      <c r="A269" s="14"/>
      <c r="E269" s="7" t="s">
        <v>1</v>
      </c>
      <c r="F269" s="8" t="str">
        <f>$C$1</f>
        <v>R. Abbott</v>
      </c>
      <c r="H269" s="15"/>
      <c r="I269" s="7" t="s">
        <v>8</v>
      </c>
      <c r="J269" s="16" t="str">
        <f>$G$2</f>
        <v>AA-SM-515</v>
      </c>
      <c r="K269" s="17"/>
      <c r="L269" s="18"/>
      <c r="M269" s="9"/>
      <c r="N269" s="9"/>
      <c r="O269" s="9"/>
      <c r="P269" s="9"/>
      <c r="Q269" s="11"/>
      <c r="R269" s="12"/>
      <c r="S269" s="36"/>
      <c r="T269" s="35"/>
    </row>
    <row r="270" spans="1:35" s="5" customFormat="1" ht="13.8" x14ac:dyDescent="0.3">
      <c r="E270" s="7" t="s">
        <v>2</v>
      </c>
      <c r="F270" s="15" t="str">
        <f>$C$2</f>
        <v xml:space="preserve"> </v>
      </c>
      <c r="H270" s="15"/>
      <c r="I270" s="7" t="s">
        <v>9</v>
      </c>
      <c r="J270" s="17" t="str">
        <f>$G$3</f>
        <v>IR</v>
      </c>
      <c r="K270" s="17"/>
      <c r="L270" s="18"/>
      <c r="M270" s="9">
        <v>1</v>
      </c>
      <c r="N270" s="9"/>
      <c r="O270" s="9"/>
      <c r="P270" s="9"/>
      <c r="Q270" s="11"/>
      <c r="R270" s="12"/>
      <c r="S270" s="36"/>
      <c r="T270" s="35"/>
    </row>
    <row r="271" spans="1:35" s="5" customFormat="1" ht="13.8" x14ac:dyDescent="0.3">
      <c r="E271" s="7" t="s">
        <v>3</v>
      </c>
      <c r="F271" s="15" t="str">
        <f>$C$3</f>
        <v>20/10/2013</v>
      </c>
      <c r="H271" s="15"/>
      <c r="I271" s="7" t="s">
        <v>6</v>
      </c>
      <c r="J271" s="8" t="str">
        <f>L271&amp;" of "&amp;$G$1</f>
        <v>6 of 6</v>
      </c>
      <c r="K271" s="15"/>
      <c r="L271" s="18">
        <f>SUM($M$1:M270)</f>
        <v>6</v>
      </c>
      <c r="M271" s="9"/>
      <c r="N271" s="9"/>
      <c r="O271" s="9"/>
      <c r="P271" s="9"/>
      <c r="Q271" s="11"/>
      <c r="R271" s="12"/>
      <c r="S271" s="36"/>
      <c r="T271" s="35"/>
    </row>
    <row r="272" spans="1:35" s="5" customFormat="1" ht="13.8" x14ac:dyDescent="0.3">
      <c r="A272" s="26"/>
      <c r="B272" s="26"/>
      <c r="C272" s="26"/>
      <c r="D272" s="26"/>
      <c r="E272" s="7" t="s">
        <v>30</v>
      </c>
      <c r="F272" s="15" t="str">
        <f>$C$5</f>
        <v>STANDARD SPREADSHEET METHOD</v>
      </c>
      <c r="I272" s="19"/>
      <c r="J272" s="8"/>
      <c r="M272" s="9"/>
      <c r="N272" s="9"/>
      <c r="O272" s="9"/>
      <c r="P272" s="9"/>
      <c r="Q272" s="9"/>
      <c r="R272" s="9"/>
      <c r="S272" s="34"/>
      <c r="T272" s="35"/>
    </row>
    <row r="273" spans="1:35" s="28" customFormat="1" x14ac:dyDescent="0.3">
      <c r="A273" s="73"/>
      <c r="B273" s="21" t="str">
        <f>$G$4</f>
        <v>SIMPLIFIED PART 23 AIRCRAFT LOADS</v>
      </c>
      <c r="C273" s="74"/>
      <c r="D273" s="74"/>
      <c r="E273" s="75"/>
      <c r="F273" s="74"/>
      <c r="G273" s="74"/>
      <c r="H273" s="74"/>
      <c r="I273" s="74"/>
      <c r="J273" s="74"/>
      <c r="K273" s="74"/>
      <c r="L273" s="30"/>
      <c r="M273" s="37"/>
      <c r="N273" s="38"/>
      <c r="O273" s="38"/>
      <c r="P273" s="38"/>
      <c r="Q273" s="38"/>
      <c r="R273" s="37"/>
      <c r="S273" s="37"/>
      <c r="T273" s="39"/>
    </row>
    <row r="274" spans="1:35" s="26" customFormat="1" ht="13.8" x14ac:dyDescent="0.3">
      <c r="A274" s="76"/>
      <c r="B274" s="76" t="s">
        <v>50</v>
      </c>
      <c r="C274" s="76"/>
      <c r="D274" s="76"/>
      <c r="E274" s="76"/>
      <c r="F274" s="76"/>
      <c r="G274" s="76"/>
      <c r="H274" s="76"/>
      <c r="I274" s="76"/>
      <c r="J274" s="76"/>
      <c r="K274" s="76"/>
      <c r="L274" s="29"/>
      <c r="M274" s="27"/>
      <c r="N274" s="27"/>
      <c r="O274" s="27"/>
      <c r="P274" s="27"/>
      <c r="Q274" s="27"/>
      <c r="R274" s="27"/>
      <c r="S274" s="27"/>
      <c r="T274" s="27"/>
    </row>
    <row r="275" spans="1:35" s="26" customFormat="1" ht="13.8" x14ac:dyDescent="0.3">
      <c r="A275" s="76"/>
      <c r="B275" s="117" t="s">
        <v>105</v>
      </c>
      <c r="C275" s="76"/>
      <c r="D275" s="79"/>
      <c r="E275" s="76"/>
      <c r="F275" s="76"/>
      <c r="G275" s="80"/>
      <c r="H275" s="76"/>
      <c r="I275" s="76"/>
      <c r="J275" s="76"/>
      <c r="K275" s="76"/>
      <c r="M275" s="37"/>
      <c r="N275" s="38"/>
      <c r="O275" s="38"/>
      <c r="P275" s="38"/>
      <c r="Q275" s="38"/>
      <c r="R275" s="37"/>
      <c r="S275" s="37"/>
      <c r="T275" s="39"/>
    </row>
    <row r="276" spans="1:35" s="26" customFormat="1" ht="13.8" x14ac:dyDescent="0.3">
      <c r="A276" s="76"/>
      <c r="B276" s="78"/>
      <c r="C276" s="76"/>
      <c r="D276" s="79"/>
      <c r="E276" s="76"/>
      <c r="F276" s="76"/>
      <c r="G276" s="76"/>
      <c r="H276" s="76"/>
      <c r="I276" s="76"/>
      <c r="J276" s="76"/>
      <c r="K276" s="76"/>
      <c r="M276" s="37"/>
      <c r="N276" s="38"/>
      <c r="O276" s="38"/>
      <c r="P276" s="38"/>
      <c r="Q276" s="38"/>
      <c r="R276" s="37"/>
      <c r="S276" s="37"/>
      <c r="T276" s="39"/>
      <c r="V276" s="40"/>
      <c r="W276" s="40"/>
      <c r="Y276" s="5"/>
      <c r="Z276" s="5"/>
      <c r="AA276" s="5"/>
      <c r="AB276" s="5"/>
      <c r="AC276" s="7"/>
      <c r="AD276" s="5"/>
      <c r="AE276" s="5"/>
      <c r="AF276" s="5"/>
      <c r="AG276" s="5"/>
      <c r="AH276" s="5"/>
      <c r="AI276" s="5"/>
    </row>
    <row r="277" spans="1:35" s="28" customFormat="1" ht="13.5" customHeight="1" x14ac:dyDescent="0.3">
      <c r="A277" s="76"/>
      <c r="B277" s="28" t="s">
        <v>89</v>
      </c>
      <c r="D277" s="79"/>
      <c r="E277" s="76"/>
      <c r="F277" s="76"/>
      <c r="G277" s="76"/>
      <c r="H277" s="76"/>
      <c r="I277" s="76"/>
      <c r="J277" s="76"/>
      <c r="K277" s="76"/>
      <c r="L277" s="30"/>
      <c r="M277" s="37"/>
      <c r="N277" s="38"/>
      <c r="O277" s="38"/>
      <c r="P277" s="38"/>
      <c r="Q277" s="38"/>
      <c r="R277" s="37"/>
      <c r="S277" s="37"/>
      <c r="T277" s="39"/>
      <c r="U277" s="30"/>
      <c r="V277" s="40"/>
      <c r="W277" s="40"/>
      <c r="X277" s="30"/>
      <c r="Y277" s="5"/>
      <c r="Z277" s="18"/>
      <c r="AA277" s="46"/>
      <c r="AB277" s="46"/>
      <c r="AC277" s="5"/>
      <c r="AD277" s="5"/>
      <c r="AE277" s="5"/>
      <c r="AF277" s="5"/>
      <c r="AG277" s="5"/>
      <c r="AH277" s="5"/>
      <c r="AI277" s="5"/>
    </row>
    <row r="278" spans="1:35" s="28" customFormat="1" ht="13.8" x14ac:dyDescent="0.3">
      <c r="A278" s="80"/>
      <c r="B278" s="83" t="s">
        <v>84</v>
      </c>
      <c r="C278" s="28" t="str">
        <f>[1]!xln(C279)</f>
        <v>3.8 × 12.7</v>
      </c>
      <c r="D278" s="80"/>
      <c r="E278" s="80"/>
      <c r="F278" s="80"/>
      <c r="G278" s="80"/>
      <c r="H278" s="80"/>
      <c r="I278" s="80"/>
      <c r="J278" s="80"/>
      <c r="K278" s="80"/>
      <c r="L278" s="30"/>
      <c r="M278" s="37"/>
      <c r="N278" s="38"/>
      <c r="O278" s="38"/>
      <c r="P278" s="38"/>
      <c r="Q278" s="38"/>
      <c r="R278" s="37"/>
      <c r="S278" s="37"/>
      <c r="T278" s="39"/>
      <c r="U278" s="30"/>
      <c r="V278" s="40"/>
      <c r="W278" s="40"/>
      <c r="X278" s="30"/>
      <c r="Y278" s="5"/>
      <c r="Z278" s="46"/>
      <c r="AA278" s="29"/>
      <c r="AB278" s="31"/>
      <c r="AC278" s="5"/>
      <c r="AD278" s="5"/>
      <c r="AE278" s="5"/>
      <c r="AF278" s="5"/>
      <c r="AG278" s="5"/>
      <c r="AH278" s="5"/>
      <c r="AI278" s="5"/>
    </row>
    <row r="279" spans="1:35" s="28" customFormat="1" ht="13.8" x14ac:dyDescent="0.3">
      <c r="A279" s="76"/>
      <c r="B279" s="79" t="s">
        <v>85</v>
      </c>
      <c r="C279" s="99">
        <f>C35*C19</f>
        <v>48.223350253807105</v>
      </c>
      <c r="D279" s="94" t="s">
        <v>109</v>
      </c>
      <c r="E279" s="76"/>
      <c r="F279" s="76"/>
      <c r="G279" s="76"/>
      <c r="H279" s="76"/>
      <c r="I279" s="76"/>
      <c r="J279" s="76"/>
      <c r="K279" s="76"/>
      <c r="L279" s="30"/>
      <c r="M279" s="37"/>
      <c r="N279" s="38"/>
      <c r="O279" s="38"/>
      <c r="P279" s="38"/>
      <c r="Q279" s="38"/>
      <c r="R279" s="37"/>
      <c r="S279" s="37"/>
      <c r="T279" s="39"/>
      <c r="U279" s="30"/>
      <c r="V279" s="40"/>
      <c r="W279" s="40"/>
      <c r="X279" s="40">
        <v>0</v>
      </c>
      <c r="Y279" s="5">
        <f>0.78*X279</f>
        <v>0</v>
      </c>
      <c r="Z279" s="18">
        <f>0.64*X279</f>
        <v>0</v>
      </c>
      <c r="AA279" s="29">
        <f>0.466*X279</f>
        <v>0</v>
      </c>
      <c r="AB279" s="40">
        <f>C279</f>
        <v>48.223350253807105</v>
      </c>
      <c r="AC279" s="5">
        <f>0.78*AB279</f>
        <v>37.614213197969541</v>
      </c>
      <c r="AD279" s="18">
        <f>0.64*AB279</f>
        <v>30.862944162436548</v>
      </c>
      <c r="AE279" s="29">
        <f>0.466*AB279</f>
        <v>22.472081218274113</v>
      </c>
      <c r="AF279" s="47"/>
      <c r="AG279" s="47"/>
      <c r="AH279" s="47"/>
      <c r="AI279" s="5"/>
    </row>
    <row r="280" spans="1:35" s="28" customFormat="1" ht="13.8" x14ac:dyDescent="0.3">
      <c r="A280" s="76"/>
      <c r="B280" s="83"/>
      <c r="C280" s="84"/>
      <c r="D280" s="76"/>
      <c r="E280" s="76"/>
      <c r="F280" s="76"/>
      <c r="G280" s="76"/>
      <c r="H280" s="76"/>
      <c r="I280" s="76"/>
      <c r="J280" s="76"/>
      <c r="K280" s="76"/>
      <c r="L280" s="30"/>
      <c r="M280" s="37"/>
      <c r="N280" s="38"/>
      <c r="O280" s="38"/>
      <c r="P280" s="38"/>
      <c r="Q280" s="38"/>
      <c r="R280" s="37"/>
      <c r="S280" s="37"/>
      <c r="T280" s="39"/>
      <c r="U280" s="30"/>
      <c r="V280" s="40"/>
      <c r="W280" s="40"/>
      <c r="X280" s="40">
        <v>5</v>
      </c>
      <c r="Y280" s="5">
        <f t="shared" ref="Y280:Y303" si="17">0.78*X280</f>
        <v>3.9000000000000004</v>
      </c>
      <c r="Z280" s="18">
        <f t="shared" ref="Z280:Z303" si="18">0.64*X280</f>
        <v>3.2</v>
      </c>
      <c r="AA280" s="29">
        <f t="shared" ref="AA280:AA303" si="19">0.466*X280</f>
        <v>2.33</v>
      </c>
      <c r="AB280" s="31"/>
      <c r="AC280" s="47"/>
      <c r="AD280" s="47"/>
      <c r="AE280" s="47"/>
      <c r="AF280" s="47"/>
      <c r="AG280" s="47"/>
      <c r="AH280" s="47"/>
      <c r="AI280" s="23"/>
    </row>
    <row r="281" spans="1:35" s="28" customFormat="1" ht="13.8" x14ac:dyDescent="0.3">
      <c r="A281" s="82"/>
      <c r="B281" s="123" t="s">
        <v>106</v>
      </c>
      <c r="C281" s="82"/>
      <c r="D281" s="76"/>
      <c r="E281" s="76"/>
      <c r="F281" s="76"/>
      <c r="G281" s="76"/>
      <c r="H281" s="84"/>
      <c r="I281" s="76"/>
      <c r="J281" s="76"/>
      <c r="K281" s="76"/>
      <c r="L281" s="30"/>
      <c r="M281" s="27"/>
      <c r="N281" s="27"/>
      <c r="O281" s="27"/>
      <c r="P281" s="27"/>
      <c r="Q281" s="27"/>
      <c r="R281" s="27"/>
      <c r="S281" s="27"/>
      <c r="T281" s="27"/>
      <c r="U281" s="30"/>
      <c r="V281" s="40"/>
      <c r="W281" s="40"/>
      <c r="X281" s="40">
        <v>7</v>
      </c>
      <c r="Y281" s="5">
        <f t="shared" si="17"/>
        <v>5.46</v>
      </c>
      <c r="Z281" s="18">
        <f t="shared" si="18"/>
        <v>4.4800000000000004</v>
      </c>
      <c r="AA281" s="29">
        <f t="shared" si="19"/>
        <v>3.262</v>
      </c>
      <c r="AB281" s="31"/>
      <c r="AC281" s="51"/>
      <c r="AD281" s="51"/>
      <c r="AE281" s="51"/>
      <c r="AF281" s="51"/>
      <c r="AG281" s="51"/>
      <c r="AH281" s="51"/>
      <c r="AI281" s="23"/>
    </row>
    <row r="282" spans="1:35" s="28" customFormat="1" ht="13.8" x14ac:dyDescent="0.3">
      <c r="A282" s="82"/>
      <c r="B282" s="83"/>
      <c r="D282" s="79"/>
      <c r="E282" s="76"/>
      <c r="F282" s="85"/>
      <c r="G282" s="76"/>
      <c r="H282" s="85"/>
      <c r="I282" s="80"/>
      <c r="J282" s="80"/>
      <c r="K282" s="76"/>
      <c r="L282" s="30"/>
      <c r="M282" s="27"/>
      <c r="N282" s="27"/>
      <c r="O282" s="27"/>
      <c r="P282" s="27"/>
      <c r="Q282" s="27"/>
      <c r="R282" s="27"/>
      <c r="S282" s="27"/>
      <c r="T282" s="27"/>
      <c r="U282" s="30"/>
      <c r="V282" s="40"/>
      <c r="W282" s="40"/>
      <c r="X282" s="40">
        <v>9</v>
      </c>
      <c r="Y282" s="5">
        <f t="shared" si="17"/>
        <v>7.0200000000000005</v>
      </c>
      <c r="Z282" s="18">
        <f t="shared" si="18"/>
        <v>5.76</v>
      </c>
      <c r="AA282" s="29">
        <f t="shared" si="19"/>
        <v>4.194</v>
      </c>
      <c r="AB282" s="43"/>
      <c r="AC282" s="5"/>
      <c r="AD282" s="5"/>
      <c r="AE282" s="5"/>
      <c r="AF282" s="5"/>
      <c r="AG282" s="5"/>
      <c r="AH282" s="5"/>
      <c r="AI282" s="5"/>
    </row>
    <row r="283" spans="1:35" s="28" customFormat="1" ht="13.8" x14ac:dyDescent="0.3">
      <c r="A283" s="82"/>
      <c r="B283" s="76"/>
      <c r="C283" s="107"/>
      <c r="D283" s="86"/>
      <c r="E283" s="76"/>
      <c r="F283" s="85"/>
      <c r="G283" s="76"/>
      <c r="H283" s="85"/>
      <c r="I283" s="80"/>
      <c r="J283" s="80"/>
      <c r="K283" s="76"/>
      <c r="L283" s="30"/>
      <c r="M283" s="27"/>
      <c r="N283" s="27"/>
      <c r="O283" s="27"/>
      <c r="P283" s="27"/>
      <c r="Q283" s="27"/>
      <c r="R283" s="27"/>
      <c r="S283" s="27"/>
      <c r="T283" s="27"/>
      <c r="U283" s="30"/>
      <c r="V283" s="40"/>
      <c r="W283" s="40"/>
      <c r="X283" s="40">
        <v>11</v>
      </c>
      <c r="Y283" s="5">
        <f t="shared" si="17"/>
        <v>8.58</v>
      </c>
      <c r="Z283" s="18">
        <f t="shared" si="18"/>
        <v>7.04</v>
      </c>
      <c r="AA283" s="29">
        <f t="shared" si="19"/>
        <v>5.1260000000000003</v>
      </c>
      <c r="AB283" s="40">
        <f>AB279</f>
        <v>48.223350253807105</v>
      </c>
      <c r="AC283" s="18">
        <v>0</v>
      </c>
      <c r="AD283" s="5"/>
      <c r="AE283" s="5"/>
      <c r="AF283" s="5"/>
      <c r="AG283" s="5"/>
      <c r="AH283" s="51"/>
      <c r="AI283" s="5"/>
    </row>
    <row r="284" spans="1:35" s="28" customFormat="1" ht="13.8" x14ac:dyDescent="0.3">
      <c r="A284" s="76"/>
      <c r="B284" s="76"/>
      <c r="C284" s="86"/>
      <c r="D284" s="87"/>
      <c r="E284" s="76"/>
      <c r="F284" s="87"/>
      <c r="G284" s="76"/>
      <c r="H284" s="87"/>
      <c r="I284" s="80"/>
      <c r="J284" s="80"/>
      <c r="K284" s="76"/>
      <c r="L284" s="30"/>
      <c r="M284" s="27"/>
      <c r="N284" s="27"/>
      <c r="O284" s="27"/>
      <c r="P284" s="27"/>
      <c r="Q284" s="27"/>
      <c r="R284" s="27"/>
      <c r="S284" s="27"/>
      <c r="T284" s="27"/>
      <c r="U284" s="30"/>
      <c r="V284" s="40"/>
      <c r="W284" s="40"/>
      <c r="X284" s="40">
        <v>13</v>
      </c>
      <c r="Y284" s="5">
        <f t="shared" si="17"/>
        <v>10.14</v>
      </c>
      <c r="Z284" s="18">
        <f t="shared" si="18"/>
        <v>8.32</v>
      </c>
      <c r="AA284" s="29">
        <f t="shared" si="19"/>
        <v>6.0580000000000007</v>
      </c>
      <c r="AB284" s="40">
        <f>AB283</f>
        <v>48.223350253807105</v>
      </c>
      <c r="AC284" s="18">
        <f>AC279</f>
        <v>37.614213197969541</v>
      </c>
      <c r="AD284" s="18"/>
      <c r="AE284" s="18"/>
      <c r="AF284" s="18"/>
      <c r="AG284" s="18"/>
      <c r="AH284" s="51"/>
      <c r="AI284" s="5"/>
    </row>
    <row r="285" spans="1:35" s="28" customFormat="1" ht="13.8" x14ac:dyDescent="0.3">
      <c r="A285" s="82"/>
      <c r="B285" s="76"/>
      <c r="C285" s="86"/>
      <c r="D285" s="87"/>
      <c r="E285" s="76"/>
      <c r="F285" s="87"/>
      <c r="G285" s="76"/>
      <c r="H285" s="87"/>
      <c r="I285" s="80"/>
      <c r="J285" s="80"/>
      <c r="K285" s="76"/>
      <c r="L285" s="30"/>
      <c r="M285" s="27"/>
      <c r="N285" s="27"/>
      <c r="O285" s="27"/>
      <c r="P285" s="27"/>
      <c r="Q285" s="27"/>
      <c r="R285" s="27"/>
      <c r="S285" s="27"/>
      <c r="T285" s="27"/>
      <c r="U285" s="30"/>
      <c r="V285" s="40"/>
      <c r="W285" s="40"/>
      <c r="X285" s="40">
        <v>15</v>
      </c>
      <c r="Y285" s="5">
        <f t="shared" si="17"/>
        <v>11.700000000000001</v>
      </c>
      <c r="Z285" s="18">
        <f t="shared" si="18"/>
        <v>9.6</v>
      </c>
      <c r="AA285" s="29">
        <f t="shared" si="19"/>
        <v>6.99</v>
      </c>
      <c r="AB285" s="18">
        <v>0</v>
      </c>
      <c r="AC285" s="18">
        <f>AC279</f>
        <v>37.614213197969541</v>
      </c>
      <c r="AD285" s="18"/>
      <c r="AE285" s="18"/>
      <c r="AF285" s="18"/>
      <c r="AG285" s="18"/>
      <c r="AH285" s="51"/>
      <c r="AI285" s="5"/>
    </row>
    <row r="286" spans="1:35" s="28" customFormat="1" ht="13.8" x14ac:dyDescent="0.3">
      <c r="A286" s="82"/>
      <c r="B286" s="82"/>
      <c r="C286" s="86"/>
      <c r="D286" s="87"/>
      <c r="E286" s="76"/>
      <c r="F286" s="87"/>
      <c r="G286" s="76"/>
      <c r="H286" s="87"/>
      <c r="I286" s="80"/>
      <c r="J286" s="80"/>
      <c r="K286" s="76"/>
      <c r="L286" s="30"/>
      <c r="M286" s="27"/>
      <c r="N286" s="27"/>
      <c r="O286" s="27"/>
      <c r="P286" s="27"/>
      <c r="Q286" s="27"/>
      <c r="R286" s="27"/>
      <c r="S286" s="27"/>
      <c r="T286" s="27"/>
      <c r="U286" s="30"/>
      <c r="V286" s="40"/>
      <c r="W286" s="40"/>
      <c r="X286" s="40">
        <v>17</v>
      </c>
      <c r="Y286" s="5">
        <f t="shared" si="17"/>
        <v>13.26</v>
      </c>
      <c r="Z286" s="18">
        <f t="shared" si="18"/>
        <v>10.88</v>
      </c>
      <c r="AA286" s="29">
        <f t="shared" si="19"/>
        <v>7.9220000000000006</v>
      </c>
      <c r="AB286" s="18"/>
      <c r="AC286" s="18"/>
      <c r="AD286" s="18"/>
      <c r="AE286" s="18"/>
      <c r="AF286" s="18"/>
      <c r="AG286" s="18"/>
      <c r="AH286" s="5"/>
      <c r="AI286" s="5"/>
    </row>
    <row r="287" spans="1:35" s="28" customFormat="1" ht="13.8" x14ac:dyDescent="0.3">
      <c r="A287" s="82"/>
      <c r="B287" s="82"/>
      <c r="C287" s="86"/>
      <c r="D287" s="87"/>
      <c r="E287" s="76"/>
      <c r="F287" s="87"/>
      <c r="G287" s="76"/>
      <c r="H287" s="87"/>
      <c r="I287" s="80"/>
      <c r="J287" s="80"/>
      <c r="K287" s="82"/>
      <c r="L287" s="30"/>
      <c r="M287" s="27"/>
      <c r="N287" s="27"/>
      <c r="O287" s="27"/>
      <c r="P287" s="27"/>
      <c r="Q287" s="27"/>
      <c r="R287" s="27"/>
      <c r="S287" s="27"/>
      <c r="T287" s="27"/>
      <c r="U287" s="30"/>
      <c r="V287" s="40"/>
      <c r="W287" s="40"/>
      <c r="X287" s="40">
        <v>21</v>
      </c>
      <c r="Y287" s="5">
        <f t="shared" si="17"/>
        <v>16.38</v>
      </c>
      <c r="Z287" s="18">
        <f t="shared" si="18"/>
        <v>13.44</v>
      </c>
      <c r="AA287" s="29">
        <f t="shared" si="19"/>
        <v>9.7860000000000014</v>
      </c>
      <c r="AB287" s="40">
        <f>AB283</f>
        <v>48.223350253807105</v>
      </c>
      <c r="AC287" s="18">
        <f>-AC283</f>
        <v>0</v>
      </c>
      <c r="AD287" s="18"/>
      <c r="AE287" s="18"/>
      <c r="AF287" s="18"/>
      <c r="AG287" s="18"/>
      <c r="AH287" s="5"/>
      <c r="AI287" s="5"/>
    </row>
    <row r="288" spans="1:35" s="28" customFormat="1" ht="13.8" x14ac:dyDescent="0.3">
      <c r="A288" s="82"/>
      <c r="B288" s="82"/>
      <c r="C288" s="86"/>
      <c r="D288" s="87"/>
      <c r="E288" s="76"/>
      <c r="F288" s="87"/>
      <c r="G288" s="76"/>
      <c r="H288" s="87"/>
      <c r="I288" s="80"/>
      <c r="J288" s="80"/>
      <c r="K288" s="82"/>
      <c r="L288" s="30"/>
      <c r="M288" s="27"/>
      <c r="N288" s="27"/>
      <c r="O288" s="27"/>
      <c r="P288" s="27"/>
      <c r="Q288" s="27"/>
      <c r="R288" s="27"/>
      <c r="S288" s="27"/>
      <c r="T288" s="27"/>
      <c r="U288" s="30"/>
      <c r="V288" s="40"/>
      <c r="W288" s="40"/>
      <c r="X288" s="40">
        <v>25</v>
      </c>
      <c r="Y288" s="5">
        <f t="shared" si="17"/>
        <v>19.5</v>
      </c>
      <c r="Z288" s="18">
        <f t="shared" si="18"/>
        <v>16</v>
      </c>
      <c r="AA288" s="29">
        <f t="shared" si="19"/>
        <v>11.65</v>
      </c>
      <c r="AB288" s="40">
        <f>AB284</f>
        <v>48.223350253807105</v>
      </c>
      <c r="AC288" s="18">
        <f>AD279</f>
        <v>30.862944162436548</v>
      </c>
      <c r="AD288" s="18"/>
      <c r="AE288" s="18"/>
      <c r="AF288" s="18"/>
      <c r="AG288" s="18"/>
      <c r="AH288" s="5"/>
      <c r="AI288" s="5"/>
    </row>
    <row r="289" spans="1:35" s="28" customFormat="1" ht="13.8" x14ac:dyDescent="0.3">
      <c r="A289" s="76"/>
      <c r="B289" s="76"/>
      <c r="C289" s="76"/>
      <c r="D289" s="76"/>
      <c r="E289" s="76"/>
      <c r="F289" s="76"/>
      <c r="G289" s="76"/>
      <c r="H289" s="76"/>
      <c r="I289" s="76"/>
      <c r="J289" s="76"/>
      <c r="K289" s="76"/>
      <c r="L289" s="30"/>
      <c r="M289" s="27"/>
      <c r="N289" s="27"/>
      <c r="O289" s="27"/>
      <c r="P289" s="27"/>
      <c r="Q289" s="27"/>
      <c r="R289" s="27"/>
      <c r="S289" s="27"/>
      <c r="T289" s="27"/>
      <c r="U289" s="30"/>
      <c r="V289" s="40"/>
      <c r="W289" s="40"/>
      <c r="X289" s="40">
        <v>29</v>
      </c>
      <c r="Y289" s="5">
        <f t="shared" si="17"/>
        <v>22.62</v>
      </c>
      <c r="Z289" s="18">
        <f t="shared" si="18"/>
        <v>18.559999999999999</v>
      </c>
      <c r="AA289" s="29">
        <f t="shared" si="19"/>
        <v>13.514000000000001</v>
      </c>
      <c r="AB289" s="18">
        <f>-AB285</f>
        <v>0</v>
      </c>
      <c r="AC289" s="52">
        <f>AD279</f>
        <v>30.862944162436548</v>
      </c>
      <c r="AD289" s="51"/>
      <c r="AE289" s="51"/>
      <c r="AF289" s="51"/>
      <c r="AG289" s="51"/>
      <c r="AH289" s="51"/>
      <c r="AI289" s="23"/>
    </row>
    <row r="290" spans="1:35" s="28" customFormat="1" ht="13.8" x14ac:dyDescent="0.3">
      <c r="A290" s="76"/>
      <c r="B290" s="76"/>
      <c r="C290" s="76"/>
      <c r="D290" s="76"/>
      <c r="E290" s="76"/>
      <c r="F290" s="76"/>
      <c r="G290" s="76"/>
      <c r="H290" s="76"/>
      <c r="I290" s="76"/>
      <c r="J290" s="76"/>
      <c r="K290" s="76"/>
      <c r="L290" s="30"/>
      <c r="M290" s="27"/>
      <c r="N290" s="27"/>
      <c r="O290" s="27"/>
      <c r="P290" s="27"/>
      <c r="Q290" s="27"/>
      <c r="R290" s="27"/>
      <c r="S290" s="27"/>
      <c r="T290" s="27"/>
      <c r="U290" s="30"/>
      <c r="V290" s="40"/>
      <c r="W290" s="40"/>
      <c r="X290" s="40">
        <v>33</v>
      </c>
      <c r="Y290" s="5">
        <f t="shared" si="17"/>
        <v>25.740000000000002</v>
      </c>
      <c r="Z290" s="18">
        <f t="shared" si="18"/>
        <v>21.12</v>
      </c>
      <c r="AA290" s="29">
        <f t="shared" si="19"/>
        <v>15.378</v>
      </c>
      <c r="AB290" s="18"/>
      <c r="AC290" s="18"/>
      <c r="AD290" s="5"/>
      <c r="AE290" s="45"/>
      <c r="AF290" s="45"/>
      <c r="AG290" s="45"/>
      <c r="AH290" s="45"/>
      <c r="AI290" s="44"/>
    </row>
    <row r="291" spans="1:35" s="28" customFormat="1" ht="13.8" x14ac:dyDescent="0.3">
      <c r="A291" s="83"/>
      <c r="B291" s="80"/>
      <c r="C291" s="80"/>
      <c r="D291" s="88"/>
      <c r="E291" s="76"/>
      <c r="F291" s="76"/>
      <c r="G291" s="76"/>
      <c r="H291" s="76"/>
      <c r="I291" s="76"/>
      <c r="J291" s="76"/>
      <c r="K291" s="76"/>
      <c r="L291" s="30"/>
      <c r="M291" s="27"/>
      <c r="N291" s="27"/>
      <c r="O291" s="27"/>
      <c r="P291" s="27"/>
      <c r="Q291" s="27"/>
      <c r="R291" s="27"/>
      <c r="S291" s="27"/>
      <c r="T291" s="27"/>
      <c r="U291" s="30"/>
      <c r="V291" s="40"/>
      <c r="W291" s="40"/>
      <c r="X291" s="40">
        <v>37</v>
      </c>
      <c r="Y291" s="5">
        <f t="shared" si="17"/>
        <v>28.86</v>
      </c>
      <c r="Z291" s="18">
        <f t="shared" si="18"/>
        <v>23.68</v>
      </c>
      <c r="AA291" s="29">
        <f t="shared" si="19"/>
        <v>17.242000000000001</v>
      </c>
      <c r="AB291" s="40">
        <f>AB287</f>
        <v>48.223350253807105</v>
      </c>
      <c r="AC291" s="18">
        <f>-AC287</f>
        <v>0</v>
      </c>
      <c r="AD291" s="18"/>
      <c r="AE291" s="45"/>
      <c r="AF291" s="45"/>
      <c r="AG291" s="45"/>
      <c r="AH291" s="45"/>
      <c r="AI291" s="44"/>
    </row>
    <row r="292" spans="1:35" s="28" customFormat="1" ht="13.8" x14ac:dyDescent="0.3">
      <c r="A292" s="79"/>
      <c r="B292" s="89"/>
      <c r="C292" s="90"/>
      <c r="D292" s="91"/>
      <c r="E292" s="76"/>
      <c r="F292" s="79"/>
      <c r="G292" s="81"/>
      <c r="H292" s="76"/>
      <c r="I292" s="80"/>
      <c r="J292" s="76"/>
      <c r="K292" s="76"/>
      <c r="L292" s="30"/>
      <c r="M292" s="27"/>
      <c r="N292" s="27"/>
      <c r="O292" s="27"/>
      <c r="P292" s="27"/>
      <c r="Q292" s="27"/>
      <c r="R292" s="27"/>
      <c r="S292" s="27"/>
      <c r="T292" s="27"/>
      <c r="U292" s="30"/>
      <c r="V292" s="40"/>
      <c r="W292" s="40"/>
      <c r="X292" s="40">
        <v>41</v>
      </c>
      <c r="Y292" s="5">
        <f t="shared" si="17"/>
        <v>31.98</v>
      </c>
      <c r="Z292" s="18">
        <f t="shared" si="18"/>
        <v>26.240000000000002</v>
      </c>
      <c r="AA292" s="29">
        <f t="shared" si="19"/>
        <v>19.106000000000002</v>
      </c>
      <c r="AB292" s="40">
        <f>AB288</f>
        <v>48.223350253807105</v>
      </c>
      <c r="AC292" s="18">
        <f>AE279</f>
        <v>22.472081218274113</v>
      </c>
      <c r="AD292" s="18"/>
      <c r="AE292" s="45"/>
      <c r="AF292" s="45"/>
      <c r="AG292" s="45"/>
      <c r="AH292" s="45"/>
      <c r="AI292" s="44"/>
    </row>
    <row r="293" spans="1:35" s="28" customFormat="1" ht="13.8" x14ac:dyDescent="0.3">
      <c r="A293" s="83"/>
      <c r="B293" s="80"/>
      <c r="C293" s="80"/>
      <c r="D293" s="91"/>
      <c r="E293" s="76"/>
      <c r="F293" s="79"/>
      <c r="G293" s="76"/>
      <c r="H293" s="76"/>
      <c r="I293" s="80"/>
      <c r="J293" s="84"/>
      <c r="K293" s="84"/>
      <c r="L293" s="30"/>
      <c r="M293" s="27"/>
      <c r="N293" s="27"/>
      <c r="O293" s="27"/>
      <c r="P293" s="27"/>
      <c r="Q293" s="27"/>
      <c r="R293" s="27"/>
      <c r="S293" s="27"/>
      <c r="T293" s="27"/>
      <c r="U293" s="30"/>
      <c r="V293" s="40"/>
      <c r="W293" s="40"/>
      <c r="X293" s="40">
        <f>X292+2</f>
        <v>43</v>
      </c>
      <c r="Y293" s="5">
        <f t="shared" si="17"/>
        <v>33.54</v>
      </c>
      <c r="Z293" s="18">
        <f t="shared" si="18"/>
        <v>27.52</v>
      </c>
      <c r="AA293" s="29">
        <f t="shared" si="19"/>
        <v>20.038</v>
      </c>
      <c r="AB293" s="18">
        <f>-AB289</f>
        <v>0</v>
      </c>
      <c r="AC293" s="52">
        <f>AE279</f>
        <v>22.472081218274113</v>
      </c>
      <c r="AD293" s="5"/>
      <c r="AE293" s="45"/>
      <c r="AF293" s="45"/>
      <c r="AG293" s="45"/>
      <c r="AH293" s="45"/>
      <c r="AI293" s="44"/>
    </row>
    <row r="294" spans="1:35" s="28" customFormat="1" ht="13.8" x14ac:dyDescent="0.3">
      <c r="A294" s="83"/>
      <c r="B294" s="92"/>
      <c r="C294" s="76"/>
      <c r="D294" s="76"/>
      <c r="E294" s="76"/>
      <c r="F294" s="83"/>
      <c r="G294" s="84"/>
      <c r="H294" s="76"/>
      <c r="I294" s="80"/>
      <c r="J294" s="84"/>
      <c r="K294" s="84"/>
      <c r="L294" s="30"/>
      <c r="M294" s="27"/>
      <c r="N294" s="27"/>
      <c r="O294" s="27"/>
      <c r="P294" s="27"/>
      <c r="Q294" s="27"/>
      <c r="R294" s="27"/>
      <c r="S294" s="27"/>
      <c r="T294" s="27"/>
      <c r="U294" s="30"/>
      <c r="V294" s="40"/>
      <c r="W294" s="40"/>
      <c r="X294" s="40">
        <f t="shared" ref="X294:X296" si="20">X293+2</f>
        <v>45</v>
      </c>
      <c r="Y294" s="5">
        <f t="shared" si="17"/>
        <v>35.1</v>
      </c>
      <c r="Z294" s="18">
        <f t="shared" si="18"/>
        <v>28.8</v>
      </c>
      <c r="AA294" s="29">
        <f t="shared" si="19"/>
        <v>20.970000000000002</v>
      </c>
      <c r="AB294" s="18"/>
      <c r="AC294" s="18"/>
      <c r="AD294" s="5"/>
      <c r="AE294" s="45"/>
      <c r="AF294" s="45"/>
      <c r="AG294" s="45"/>
      <c r="AH294" s="45"/>
      <c r="AI294" s="44"/>
    </row>
    <row r="295" spans="1:35" s="28" customFormat="1" ht="13.8" x14ac:dyDescent="0.3">
      <c r="A295" s="76"/>
      <c r="B295" s="80"/>
      <c r="C295" s="80"/>
      <c r="D295" s="93"/>
      <c r="E295" s="76"/>
      <c r="F295" s="83"/>
      <c r="G295" s="80"/>
      <c r="H295" s="80"/>
      <c r="I295" s="76"/>
      <c r="J295" s="76"/>
      <c r="K295" s="76"/>
      <c r="L295" s="30"/>
      <c r="M295" s="27"/>
      <c r="N295" s="27"/>
      <c r="O295" s="27"/>
      <c r="P295" s="27"/>
      <c r="Q295" s="27"/>
      <c r="R295" s="27"/>
      <c r="S295" s="27"/>
      <c r="T295" s="27"/>
      <c r="U295" s="30"/>
      <c r="V295" s="40"/>
      <c r="W295" s="40"/>
      <c r="X295" s="40">
        <f t="shared" si="20"/>
        <v>47</v>
      </c>
      <c r="Y295" s="5">
        <f t="shared" si="17"/>
        <v>36.660000000000004</v>
      </c>
      <c r="Z295" s="18">
        <f t="shared" si="18"/>
        <v>30.080000000000002</v>
      </c>
      <c r="AA295" s="29">
        <f t="shared" si="19"/>
        <v>21.902000000000001</v>
      </c>
      <c r="AB295" s="5"/>
      <c r="AC295" s="5"/>
      <c r="AD295" s="40"/>
      <c r="AE295" s="43"/>
      <c r="AF295" s="54"/>
      <c r="AG295" s="42"/>
      <c r="AH295" s="5"/>
      <c r="AI295" s="5"/>
    </row>
    <row r="296" spans="1:35" s="28" customFormat="1" ht="13.8" x14ac:dyDescent="0.3">
      <c r="A296" s="76"/>
      <c r="B296" s="76"/>
      <c r="C296" s="76"/>
      <c r="D296" s="76"/>
      <c r="E296" s="76"/>
      <c r="F296" s="83"/>
      <c r="G296" s="80"/>
      <c r="H296" s="80"/>
      <c r="I296" s="76"/>
      <c r="J296" s="76"/>
      <c r="K296" s="76"/>
      <c r="L296" s="30"/>
      <c r="M296" s="27"/>
      <c r="N296" s="27"/>
      <c r="O296" s="27"/>
      <c r="P296" s="27"/>
      <c r="Q296" s="27"/>
      <c r="R296" s="27"/>
      <c r="S296" s="27"/>
      <c r="T296" s="27"/>
      <c r="U296" s="30"/>
      <c r="V296" s="40"/>
      <c r="W296" s="40"/>
      <c r="X296" s="40">
        <f t="shared" si="20"/>
        <v>49</v>
      </c>
      <c r="Y296" s="5">
        <f t="shared" si="17"/>
        <v>38.22</v>
      </c>
      <c r="Z296" s="18">
        <f t="shared" si="18"/>
        <v>31.36</v>
      </c>
      <c r="AA296" s="29">
        <f t="shared" si="19"/>
        <v>22.834</v>
      </c>
      <c r="AB296" s="18"/>
      <c r="AC296" s="18"/>
      <c r="AD296" s="5"/>
      <c r="AE296" s="41"/>
      <c r="AF296" s="41"/>
      <c r="AG296" s="41"/>
      <c r="AH296" s="41"/>
      <c r="AI296" s="41"/>
    </row>
    <row r="297" spans="1:35" s="28" customFormat="1" ht="13.8" x14ac:dyDescent="0.3">
      <c r="A297" s="76"/>
      <c r="B297" s="94"/>
      <c r="C297" s="80"/>
      <c r="D297" s="93"/>
      <c r="E297" s="76"/>
      <c r="F297" s="76"/>
      <c r="G297" s="76"/>
      <c r="H297" s="76"/>
      <c r="I297" s="76"/>
      <c r="J297" s="76"/>
      <c r="K297" s="76"/>
      <c r="L297" s="30"/>
      <c r="M297" s="27"/>
      <c r="N297" s="27"/>
      <c r="O297" s="27"/>
      <c r="P297" s="27"/>
      <c r="Q297" s="27"/>
      <c r="R297" s="27"/>
      <c r="S297" s="27"/>
      <c r="T297" s="27"/>
      <c r="U297" s="30"/>
      <c r="V297" s="40"/>
      <c r="W297" s="40"/>
      <c r="X297" s="40">
        <f>X296+10</f>
        <v>59</v>
      </c>
      <c r="Y297" s="5">
        <f t="shared" si="17"/>
        <v>46.02</v>
      </c>
      <c r="Z297" s="18">
        <f t="shared" si="18"/>
        <v>37.76</v>
      </c>
      <c r="AA297" s="29">
        <f t="shared" si="19"/>
        <v>27.494</v>
      </c>
      <c r="AB297" s="18"/>
      <c r="AC297" s="18"/>
      <c r="AD297" s="18"/>
      <c r="AE297" s="41"/>
      <c r="AF297" s="41"/>
      <c r="AG297" s="41"/>
      <c r="AH297" s="41"/>
      <c r="AI297" s="41"/>
    </row>
    <row r="298" spans="1:35" s="28" customFormat="1" ht="13.8" x14ac:dyDescent="0.3">
      <c r="A298" s="76"/>
      <c r="B298" s="76"/>
      <c r="C298" s="76"/>
      <c r="D298" s="76"/>
      <c r="E298" s="76"/>
      <c r="F298" s="76"/>
      <c r="G298" s="76"/>
      <c r="H298" s="76"/>
      <c r="I298" s="76"/>
      <c r="J298" s="76"/>
      <c r="K298" s="76"/>
      <c r="L298" s="30"/>
      <c r="M298" s="27"/>
      <c r="N298" s="27"/>
      <c r="O298" s="27"/>
      <c r="P298" s="27"/>
      <c r="Q298" s="27"/>
      <c r="R298" s="27"/>
      <c r="S298" s="27"/>
      <c r="T298" s="27"/>
      <c r="U298" s="30"/>
      <c r="V298" s="40"/>
      <c r="W298" s="40"/>
      <c r="X298" s="40">
        <f t="shared" ref="X298:X301" si="21">X297+10</f>
        <v>69</v>
      </c>
      <c r="Y298" s="5">
        <f t="shared" si="17"/>
        <v>53.82</v>
      </c>
      <c r="Z298" s="18">
        <f t="shared" si="18"/>
        <v>44.160000000000004</v>
      </c>
      <c r="AA298" s="29">
        <f t="shared" si="19"/>
        <v>32.154000000000003</v>
      </c>
      <c r="AB298" s="18"/>
      <c r="AC298" s="18"/>
      <c r="AD298" s="5"/>
      <c r="AE298" s="41"/>
      <c r="AF298" s="41"/>
      <c r="AG298" s="41"/>
      <c r="AH298" s="41"/>
      <c r="AI298" s="41"/>
    </row>
    <row r="299" spans="1:35" s="28" customFormat="1" ht="13.8" x14ac:dyDescent="0.3">
      <c r="A299" s="83"/>
      <c r="B299" s="79"/>
      <c r="C299" s="76"/>
      <c r="D299" s="76"/>
      <c r="E299" s="76"/>
      <c r="F299" s="76"/>
      <c r="G299" s="76"/>
      <c r="H299" s="76"/>
      <c r="I299" s="76"/>
      <c r="J299" s="90"/>
      <c r="K299" s="76"/>
      <c r="L299" s="30"/>
      <c r="M299" s="27"/>
      <c r="N299" s="27"/>
      <c r="O299" s="27"/>
      <c r="P299" s="27"/>
      <c r="Q299" s="27"/>
      <c r="R299" s="27"/>
      <c r="S299" s="27"/>
      <c r="T299" s="27"/>
      <c r="U299" s="30"/>
      <c r="V299" s="40"/>
      <c r="W299" s="40"/>
      <c r="X299" s="40">
        <f t="shared" si="21"/>
        <v>79</v>
      </c>
      <c r="Y299" s="5">
        <f t="shared" si="17"/>
        <v>61.620000000000005</v>
      </c>
      <c r="Z299" s="18">
        <f t="shared" si="18"/>
        <v>50.56</v>
      </c>
      <c r="AA299" s="29">
        <f t="shared" si="19"/>
        <v>36.814</v>
      </c>
      <c r="AB299" s="18"/>
      <c r="AC299" s="18"/>
      <c r="AD299" s="5"/>
      <c r="AE299" s="41"/>
      <c r="AF299" s="41"/>
      <c r="AG299" s="41"/>
      <c r="AH299" s="41"/>
      <c r="AI299" s="41"/>
    </row>
    <row r="300" spans="1:35" s="28" customFormat="1" ht="13.8" x14ac:dyDescent="0.3">
      <c r="A300" s="76"/>
      <c r="B300" s="95"/>
      <c r="C300" s="96"/>
      <c r="D300" s="91"/>
      <c r="E300" s="76"/>
      <c r="F300" s="76"/>
      <c r="G300" s="76"/>
      <c r="H300" s="76"/>
      <c r="I300" s="76"/>
      <c r="J300" s="76"/>
      <c r="K300" s="76"/>
      <c r="L300" s="30"/>
      <c r="M300" s="27"/>
      <c r="N300" s="27"/>
      <c r="O300" s="27"/>
      <c r="P300" s="27"/>
      <c r="Q300" s="27"/>
      <c r="R300" s="27"/>
      <c r="S300" s="27"/>
      <c r="T300" s="27"/>
      <c r="U300" s="30"/>
      <c r="V300" s="40"/>
      <c r="W300" s="40"/>
      <c r="X300" s="40">
        <f t="shared" si="21"/>
        <v>89</v>
      </c>
      <c r="Y300" s="5">
        <f t="shared" si="17"/>
        <v>69.42</v>
      </c>
      <c r="Z300" s="18">
        <f t="shared" si="18"/>
        <v>56.96</v>
      </c>
      <c r="AA300" s="29">
        <f t="shared" si="19"/>
        <v>41.474000000000004</v>
      </c>
      <c r="AB300" s="18"/>
      <c r="AC300" s="18"/>
      <c r="AD300" s="5"/>
      <c r="AE300" s="41"/>
      <c r="AF300" s="41"/>
      <c r="AG300" s="41"/>
      <c r="AH300" s="41"/>
      <c r="AI300" s="41"/>
    </row>
    <row r="301" spans="1:35" s="28" customFormat="1" ht="13.8" x14ac:dyDescent="0.3">
      <c r="A301" s="76"/>
      <c r="B301" s="79"/>
      <c r="C301" s="81"/>
      <c r="D301" s="76"/>
      <c r="E301" s="76"/>
      <c r="F301" s="76"/>
      <c r="G301" s="76"/>
      <c r="H301" s="76"/>
      <c r="I301" s="76"/>
      <c r="J301" s="86"/>
      <c r="K301" s="76"/>
      <c r="L301" s="30"/>
      <c r="M301" s="27"/>
      <c r="N301" s="27"/>
      <c r="O301" s="27"/>
      <c r="P301" s="27"/>
      <c r="Q301" s="27"/>
      <c r="R301" s="27"/>
      <c r="S301" s="27"/>
      <c r="T301" s="27"/>
      <c r="U301" s="30"/>
      <c r="V301" s="40"/>
      <c r="W301" s="40"/>
      <c r="X301" s="40">
        <f t="shared" si="21"/>
        <v>99</v>
      </c>
      <c r="Y301" s="5">
        <f t="shared" si="17"/>
        <v>77.22</v>
      </c>
      <c r="Z301" s="18">
        <f t="shared" si="18"/>
        <v>63.36</v>
      </c>
      <c r="AA301" s="29">
        <f t="shared" si="19"/>
        <v>46.134</v>
      </c>
      <c r="AB301" s="5"/>
      <c r="AC301" s="5"/>
      <c r="AD301" s="5"/>
      <c r="AE301" s="5"/>
      <c r="AF301" s="5"/>
      <c r="AG301" s="5"/>
      <c r="AH301" s="5"/>
      <c r="AI301" s="5"/>
    </row>
    <row r="302" spans="1:35" s="28" customFormat="1" ht="13.8" x14ac:dyDescent="0.3">
      <c r="A302" s="83"/>
      <c r="F302" s="83"/>
      <c r="G302" s="92"/>
      <c r="H302" s="76"/>
      <c r="I302" s="76"/>
      <c r="J302" s="76"/>
      <c r="K302" s="76"/>
      <c r="L302" s="30"/>
      <c r="M302" s="27"/>
      <c r="N302" s="27"/>
      <c r="O302" s="27"/>
      <c r="P302" s="27"/>
      <c r="Q302" s="27"/>
      <c r="R302" s="27"/>
      <c r="S302" s="27"/>
      <c r="T302" s="27"/>
      <c r="U302" s="30"/>
      <c r="V302" s="40"/>
      <c r="W302" s="40"/>
      <c r="X302" s="40">
        <f>X301+10</f>
        <v>109</v>
      </c>
      <c r="Y302" s="5">
        <f t="shared" si="17"/>
        <v>85.02</v>
      </c>
      <c r="Z302" s="18">
        <f t="shared" si="18"/>
        <v>69.760000000000005</v>
      </c>
      <c r="AA302" s="29">
        <f t="shared" si="19"/>
        <v>50.794000000000004</v>
      </c>
      <c r="AB302" s="5"/>
      <c r="AC302" s="5"/>
      <c r="AD302" s="5"/>
      <c r="AE302" s="5"/>
      <c r="AF302" s="5"/>
      <c r="AG302" s="5"/>
      <c r="AH302" s="5"/>
      <c r="AI302" s="51"/>
    </row>
    <row r="303" spans="1:35" s="28" customFormat="1" ht="13.8" x14ac:dyDescent="0.3">
      <c r="A303" s="76"/>
      <c r="B303" s="142" t="s">
        <v>115</v>
      </c>
      <c r="C303" s="76"/>
      <c r="D303" s="76"/>
      <c r="E303" s="79" t="s">
        <v>110</v>
      </c>
      <c r="F303" s="81">
        <f>AC284</f>
        <v>37.614213197969541</v>
      </c>
      <c r="G303" s="94" t="s">
        <v>109</v>
      </c>
      <c r="H303" s="80"/>
      <c r="I303" s="76"/>
      <c r="J303" s="76"/>
      <c r="K303" s="76"/>
      <c r="L303" s="30"/>
      <c r="M303" s="27"/>
      <c r="N303" s="27"/>
      <c r="O303" s="27"/>
      <c r="P303" s="27"/>
      <c r="Q303" s="27"/>
      <c r="R303" s="27"/>
      <c r="S303" s="27"/>
      <c r="T303" s="27"/>
      <c r="U303" s="30"/>
      <c r="V303" s="40"/>
      <c r="W303" s="40"/>
      <c r="X303" s="40">
        <v>120</v>
      </c>
      <c r="Y303" s="5">
        <f t="shared" si="17"/>
        <v>93.600000000000009</v>
      </c>
      <c r="Z303" s="18">
        <f t="shared" si="18"/>
        <v>76.8</v>
      </c>
      <c r="AA303" s="29">
        <f t="shared" si="19"/>
        <v>55.92</v>
      </c>
      <c r="AB303" s="5"/>
      <c r="AC303" s="5"/>
      <c r="AD303" s="5"/>
      <c r="AE303" s="5"/>
      <c r="AF303" s="5"/>
      <c r="AG303" s="5"/>
      <c r="AH303" s="5"/>
      <c r="AI303" s="51"/>
    </row>
    <row r="304" spans="1:35" s="28" customFormat="1" ht="13.8" x14ac:dyDescent="0.3">
      <c r="A304" s="76"/>
      <c r="B304" s="143"/>
      <c r="E304" s="138"/>
      <c r="F304" s="81"/>
      <c r="G304" s="76"/>
      <c r="H304" s="76"/>
      <c r="I304" s="76"/>
      <c r="J304" s="76"/>
      <c r="K304" s="76"/>
      <c r="L304" s="30"/>
      <c r="M304" s="27"/>
      <c r="N304" s="27"/>
      <c r="O304" s="27"/>
      <c r="P304" s="27"/>
      <c r="Q304" s="27"/>
      <c r="R304" s="27"/>
      <c r="S304" s="27"/>
      <c r="T304" s="27"/>
      <c r="U304" s="30"/>
      <c r="V304" s="40"/>
      <c r="W304" s="40"/>
      <c r="X304" s="30"/>
      <c r="Y304" s="18"/>
      <c r="Z304" s="18"/>
      <c r="AA304" s="40"/>
      <c r="AB304" s="5"/>
      <c r="AC304" s="5"/>
      <c r="AD304" s="5"/>
      <c r="AE304" s="5"/>
      <c r="AF304" s="5"/>
      <c r="AG304" s="5"/>
      <c r="AH304" s="5"/>
      <c r="AI304" s="51"/>
    </row>
    <row r="305" spans="1:35" s="28" customFormat="1" ht="13.8" x14ac:dyDescent="0.3">
      <c r="A305" s="83"/>
      <c r="B305" s="142" t="s">
        <v>116</v>
      </c>
      <c r="C305" s="96"/>
      <c r="D305" s="91"/>
      <c r="E305" s="79" t="s">
        <v>111</v>
      </c>
      <c r="F305" s="139">
        <f>AC288</f>
        <v>30.862944162436548</v>
      </c>
      <c r="G305" s="94" t="s">
        <v>109</v>
      </c>
      <c r="H305" s="76"/>
      <c r="I305" s="76"/>
      <c r="J305" s="76"/>
      <c r="K305" s="76"/>
      <c r="L305" s="30"/>
      <c r="M305" s="27"/>
      <c r="N305" s="27"/>
      <c r="O305" s="27"/>
      <c r="P305" s="27"/>
      <c r="Q305" s="27"/>
      <c r="R305" s="27"/>
      <c r="S305" s="27"/>
      <c r="T305" s="27"/>
      <c r="U305" s="30"/>
      <c r="V305" s="40"/>
      <c r="W305" s="40"/>
      <c r="X305" s="30"/>
      <c r="Y305" s="18"/>
      <c r="Z305" s="5"/>
      <c r="AA305" s="40"/>
      <c r="AB305" s="5"/>
      <c r="AC305" s="5"/>
      <c r="AD305" s="5"/>
      <c r="AE305" s="5"/>
      <c r="AF305" s="5"/>
      <c r="AG305" s="5"/>
      <c r="AH305" s="5"/>
      <c r="AI305" s="51"/>
    </row>
    <row r="306" spans="1:35" s="28" customFormat="1" ht="13.8" x14ac:dyDescent="0.3">
      <c r="A306" s="76"/>
      <c r="B306" s="144"/>
      <c r="C306" s="99"/>
      <c r="D306" s="91"/>
      <c r="E306" s="86"/>
      <c r="F306" s="76"/>
      <c r="G306" s="99"/>
      <c r="H306" s="80"/>
      <c r="I306" s="100"/>
      <c r="J306" s="76"/>
      <c r="K306" s="76"/>
      <c r="L306" s="30"/>
      <c r="M306" s="27"/>
      <c r="N306" s="27"/>
      <c r="O306" s="27"/>
      <c r="P306" s="27"/>
      <c r="Q306" s="27"/>
      <c r="R306" s="27"/>
      <c r="S306" s="27"/>
      <c r="T306" s="27"/>
      <c r="U306" s="30"/>
      <c r="V306" s="40"/>
      <c r="W306" s="40"/>
      <c r="X306" s="30"/>
      <c r="Y306" s="18"/>
      <c r="Z306" s="5"/>
      <c r="AA306" s="40"/>
      <c r="AB306" s="5"/>
      <c r="AC306" s="5"/>
      <c r="AD306" s="5"/>
      <c r="AE306" s="5"/>
      <c r="AF306" s="5"/>
      <c r="AG306" s="5"/>
      <c r="AH306" s="5"/>
      <c r="AI306" s="5"/>
    </row>
    <row r="307" spans="1:35" s="28" customFormat="1" ht="13.8" x14ac:dyDescent="0.3">
      <c r="A307" s="76"/>
      <c r="B307" s="145" t="s">
        <v>117</v>
      </c>
      <c r="C307" s="98"/>
      <c r="D307" s="76"/>
      <c r="E307" s="79" t="s">
        <v>112</v>
      </c>
      <c r="F307" s="139">
        <f>AC293</f>
        <v>22.472081218274113</v>
      </c>
      <c r="G307" s="94" t="s">
        <v>109</v>
      </c>
      <c r="H307" s="76"/>
      <c r="I307" s="76"/>
      <c r="J307" s="76"/>
      <c r="K307" s="76"/>
      <c r="L307" s="30"/>
      <c r="M307" s="27"/>
      <c r="N307" s="27"/>
      <c r="O307" s="27"/>
      <c r="P307" s="27"/>
      <c r="Q307" s="27"/>
      <c r="R307" s="27"/>
      <c r="S307" s="27"/>
      <c r="T307" s="27"/>
      <c r="U307" s="30"/>
      <c r="V307" s="40"/>
      <c r="W307" s="40"/>
      <c r="X307" s="30"/>
      <c r="Y307" s="5"/>
      <c r="Z307" s="5"/>
      <c r="AA307" s="5"/>
      <c r="AB307" s="5"/>
      <c r="AC307" s="5"/>
      <c r="AD307" s="5"/>
      <c r="AE307" s="5"/>
      <c r="AF307" s="5"/>
      <c r="AG307" s="5"/>
      <c r="AH307" s="51"/>
      <c r="AI307" s="5"/>
    </row>
    <row r="308" spans="1:35" s="28" customFormat="1" ht="13.8" x14ac:dyDescent="0.3">
      <c r="A308" s="76"/>
      <c r="B308" s="79"/>
      <c r="C308" s="101"/>
      <c r="D308" s="76"/>
      <c r="E308" s="76"/>
      <c r="F308" s="85"/>
      <c r="G308" s="76"/>
      <c r="H308" s="76"/>
      <c r="I308" s="85"/>
      <c r="J308" s="76"/>
      <c r="K308" s="76"/>
      <c r="L308" s="30"/>
      <c r="M308" s="27"/>
      <c r="N308" s="27"/>
      <c r="O308" s="27"/>
      <c r="P308" s="27"/>
      <c r="Q308" s="27"/>
      <c r="R308" s="27"/>
      <c r="S308" s="27"/>
      <c r="T308" s="27"/>
      <c r="U308" s="30"/>
      <c r="V308" s="40"/>
      <c r="W308" s="40"/>
      <c r="X308" s="30"/>
      <c r="Y308" s="18"/>
      <c r="Z308" s="5"/>
      <c r="AA308" s="55"/>
      <c r="AB308" s="5"/>
      <c r="AC308" s="5"/>
      <c r="AD308" s="5"/>
      <c r="AE308" s="5"/>
      <c r="AF308" s="5"/>
      <c r="AG308" s="5"/>
      <c r="AH308" s="5"/>
      <c r="AI308" s="5"/>
    </row>
    <row r="309" spans="1:35" s="28" customFormat="1" ht="13.8" x14ac:dyDescent="0.3">
      <c r="A309" s="76"/>
      <c r="B309" s="79"/>
      <c r="C309" s="102"/>
      <c r="D309" s="76"/>
      <c r="E309" s="77"/>
      <c r="F309" s="85"/>
      <c r="G309" s="76"/>
      <c r="H309" s="76"/>
      <c r="I309" s="85"/>
      <c r="J309" s="76"/>
      <c r="K309" s="76"/>
      <c r="L309" s="30"/>
      <c r="M309" s="27"/>
      <c r="N309" s="27"/>
      <c r="O309" s="27"/>
      <c r="P309" s="27"/>
      <c r="Q309" s="27"/>
      <c r="R309" s="27"/>
      <c r="S309" s="27"/>
      <c r="T309" s="27"/>
      <c r="U309" s="30"/>
      <c r="V309" s="40"/>
      <c r="W309" s="40"/>
      <c r="X309" s="30"/>
      <c r="Y309" s="52"/>
      <c r="Z309" s="5"/>
      <c r="AA309" s="41"/>
      <c r="AB309" s="5"/>
      <c r="AC309" s="5"/>
      <c r="AD309" s="5"/>
      <c r="AE309" s="5"/>
      <c r="AF309" s="5"/>
      <c r="AG309" s="5"/>
      <c r="AH309" s="5"/>
      <c r="AI309" s="5"/>
    </row>
    <row r="310" spans="1:35" s="28" customFormat="1" ht="13.8" x14ac:dyDescent="0.3">
      <c r="A310" s="76"/>
      <c r="B310" s="77"/>
      <c r="C310" s="77"/>
      <c r="D310" s="85"/>
      <c r="E310" s="77"/>
      <c r="F310" s="85"/>
      <c r="G310" s="76"/>
      <c r="H310" s="76"/>
      <c r="I310" s="85"/>
      <c r="J310" s="76"/>
      <c r="K310" s="76"/>
      <c r="L310" s="30"/>
      <c r="M310" s="27"/>
      <c r="N310" s="27"/>
      <c r="O310" s="27"/>
      <c r="P310" s="27"/>
      <c r="Q310" s="27"/>
      <c r="R310" s="27"/>
      <c r="S310" s="27"/>
      <c r="T310" s="27"/>
      <c r="U310" s="30"/>
      <c r="V310" s="40"/>
      <c r="W310" s="40"/>
      <c r="X310" s="30"/>
      <c r="Y310" s="52"/>
      <c r="Z310" s="18"/>
      <c r="AA310" s="41"/>
      <c r="AB310" s="5"/>
      <c r="AC310" s="5"/>
      <c r="AD310" s="5"/>
      <c r="AE310" s="5"/>
      <c r="AF310" s="5"/>
      <c r="AG310" s="5"/>
      <c r="AH310" s="5"/>
      <c r="AI310" s="5"/>
    </row>
    <row r="311" spans="1:35" s="28" customFormat="1" ht="13.8" x14ac:dyDescent="0.3">
      <c r="A311" s="76"/>
      <c r="B311" s="103"/>
      <c r="C311" s="85"/>
      <c r="D311" s="85"/>
      <c r="E311" s="77"/>
      <c r="F311" s="85"/>
      <c r="G311" s="76"/>
      <c r="H311" s="76"/>
      <c r="I311" s="85"/>
      <c r="J311" s="76"/>
      <c r="K311" s="76"/>
      <c r="L311" s="30"/>
      <c r="M311" s="27"/>
      <c r="N311" s="27"/>
      <c r="O311" s="27"/>
      <c r="P311" s="27"/>
      <c r="Q311" s="27"/>
      <c r="R311" s="27"/>
      <c r="S311" s="27"/>
      <c r="T311" s="27"/>
      <c r="U311" s="30"/>
      <c r="V311" s="40"/>
      <c r="W311" s="40"/>
      <c r="X311" s="30"/>
      <c r="Y311" s="18"/>
      <c r="Z311" s="51"/>
      <c r="AA311" s="55"/>
      <c r="AB311" s="51"/>
      <c r="AC311" s="5"/>
      <c r="AD311" s="5"/>
      <c r="AE311" s="5"/>
      <c r="AF311" s="5"/>
      <c r="AG311" s="5"/>
      <c r="AH311" s="5"/>
      <c r="AI311" s="5"/>
    </row>
    <row r="312" spans="1:35" s="28" customFormat="1" ht="13.8" x14ac:dyDescent="0.3">
      <c r="A312" s="76"/>
      <c r="B312" s="85"/>
      <c r="C312" s="85"/>
      <c r="D312" s="77"/>
      <c r="E312" s="85"/>
      <c r="F312" s="76"/>
      <c r="G312" s="76"/>
      <c r="H312" s="85"/>
      <c r="I312" s="76"/>
      <c r="J312" s="76"/>
      <c r="K312" s="76"/>
      <c r="L312" s="30"/>
      <c r="M312" s="27"/>
      <c r="N312" s="27"/>
      <c r="O312" s="27"/>
      <c r="P312" s="27"/>
      <c r="Q312" s="27"/>
      <c r="R312" s="27"/>
      <c r="S312" s="27"/>
      <c r="T312" s="27"/>
      <c r="U312" s="30"/>
      <c r="V312" s="40"/>
      <c r="W312" s="40"/>
      <c r="X312" s="30"/>
      <c r="Y312" s="18"/>
      <c r="Z312" s="5"/>
      <c r="AA312" s="41"/>
      <c r="AB312" s="5"/>
      <c r="AC312" s="5"/>
      <c r="AD312" s="5"/>
      <c r="AE312" s="5"/>
      <c r="AF312" s="5"/>
      <c r="AG312" s="5"/>
      <c r="AH312" s="5"/>
      <c r="AI312" s="5"/>
    </row>
    <row r="313" spans="1:35" s="28" customFormat="1" ht="13.8" x14ac:dyDescent="0.3">
      <c r="A313" s="5"/>
      <c r="B313" s="5"/>
      <c r="C313" s="46"/>
      <c r="D313" s="46"/>
      <c r="E313" s="46"/>
      <c r="F313" s="46"/>
      <c r="G313" s="5"/>
      <c r="H313" s="46"/>
      <c r="I313" s="46"/>
      <c r="J313" s="5"/>
      <c r="K313" s="5"/>
      <c r="L313" s="30"/>
      <c r="M313" s="27"/>
      <c r="N313" s="27"/>
      <c r="O313" s="27"/>
      <c r="P313" s="27"/>
      <c r="Q313" s="27"/>
      <c r="R313" s="27"/>
      <c r="S313" s="27"/>
      <c r="T313" s="27"/>
      <c r="U313" s="30"/>
      <c r="V313" s="40"/>
      <c r="W313" s="40"/>
      <c r="X313" s="30"/>
      <c r="Y313" s="5"/>
      <c r="Z313" s="5"/>
      <c r="AA313" s="5"/>
      <c r="AB313" s="5"/>
      <c r="AC313" s="5"/>
      <c r="AD313" s="5"/>
      <c r="AE313" s="5"/>
      <c r="AF313" s="5"/>
      <c r="AG313" s="5"/>
      <c r="AH313" s="5"/>
      <c r="AI313" s="5"/>
    </row>
    <row r="314" spans="1:35" s="28" customFormat="1" ht="13.8" x14ac:dyDescent="0.3">
      <c r="A314" s="5"/>
      <c r="B314" s="46"/>
      <c r="C314" s="53"/>
      <c r="D314" s="43"/>
      <c r="E314" s="49"/>
      <c r="F314" s="40"/>
      <c r="G314" s="5"/>
      <c r="H314" s="49"/>
      <c r="I314" s="40"/>
      <c r="J314" s="47"/>
      <c r="K314" s="47"/>
      <c r="L314" s="30"/>
      <c r="M314" s="27"/>
      <c r="N314" s="27"/>
      <c r="O314" s="27"/>
      <c r="P314" s="27"/>
      <c r="Q314" s="27"/>
      <c r="R314" s="27"/>
      <c r="S314" s="27"/>
      <c r="T314" s="27"/>
      <c r="U314" s="30"/>
      <c r="V314" s="40"/>
      <c r="W314" s="40"/>
      <c r="X314" s="30"/>
    </row>
    <row r="315" spans="1:35" s="28" customFormat="1" ht="13.8" x14ac:dyDescent="0.3">
      <c r="A315" s="5"/>
      <c r="B315" s="46"/>
      <c r="C315" s="53"/>
      <c r="D315" s="43"/>
      <c r="E315" s="49"/>
      <c r="F315" s="40"/>
      <c r="G315" s="5"/>
      <c r="H315" s="49"/>
      <c r="I315" s="40"/>
      <c r="J315" s="47"/>
      <c r="K315" s="47"/>
      <c r="L315" s="30"/>
      <c r="M315" s="27"/>
      <c r="N315" s="27"/>
      <c r="O315" s="27"/>
      <c r="P315" s="27"/>
      <c r="Q315" s="27"/>
      <c r="R315" s="27"/>
      <c r="S315" s="27"/>
      <c r="T315" s="27"/>
      <c r="U315" s="30"/>
      <c r="V315" s="40"/>
      <c r="W315" s="40"/>
      <c r="X315" s="30"/>
    </row>
    <row r="316" spans="1:35" s="28" customFormat="1" ht="13.8" x14ac:dyDescent="0.3">
      <c r="A316" s="5"/>
      <c r="B316" s="46"/>
      <c r="C316" s="53"/>
      <c r="D316" s="43"/>
      <c r="E316" s="49"/>
      <c r="F316" s="40"/>
      <c r="G316" s="5"/>
      <c r="H316" s="49"/>
      <c r="I316" s="40"/>
      <c r="J316" s="47"/>
      <c r="K316" s="47"/>
      <c r="L316" s="30"/>
      <c r="M316" s="27"/>
      <c r="N316" s="27"/>
      <c r="O316" s="27"/>
      <c r="P316" s="27"/>
      <c r="Q316" s="27"/>
      <c r="R316" s="27"/>
      <c r="S316" s="27"/>
      <c r="T316" s="27"/>
      <c r="U316" s="30"/>
      <c r="V316" s="56"/>
      <c r="W316" s="40"/>
      <c r="X316" s="30"/>
    </row>
    <row r="317" spans="1:35" s="28" customFormat="1" ht="13.8" x14ac:dyDescent="0.3">
      <c r="A317" s="5"/>
      <c r="B317" s="46"/>
      <c r="C317" s="53"/>
      <c r="D317" s="43"/>
      <c r="E317" s="49"/>
      <c r="F317" s="40"/>
      <c r="G317" s="5"/>
      <c r="H317" s="49"/>
      <c r="I317" s="40"/>
      <c r="J317" s="47"/>
      <c r="K317" s="47"/>
      <c r="L317" s="30"/>
      <c r="M317" s="27"/>
      <c r="N317" s="27"/>
      <c r="O317" s="27"/>
      <c r="P317" s="27"/>
      <c r="Q317" s="27"/>
      <c r="R317" s="27"/>
      <c r="S317" s="27"/>
      <c r="T317" s="27"/>
      <c r="U317" s="30"/>
      <c r="V317" s="5"/>
      <c r="W317" s="5"/>
      <c r="X317" s="30"/>
    </row>
    <row r="318" spans="1:35" s="28" customFormat="1" ht="13.8" x14ac:dyDescent="0.3">
      <c r="A318" s="58"/>
      <c r="B318" s="59"/>
      <c r="C318" s="60"/>
      <c r="D318" s="58"/>
      <c r="E318" s="58"/>
      <c r="F318" s="58"/>
      <c r="G318" s="60"/>
      <c r="H318" s="58"/>
      <c r="I318" s="58"/>
      <c r="J318" s="58"/>
      <c r="K318" s="58"/>
      <c r="L318" s="30"/>
      <c r="M318" s="27"/>
      <c r="N318" s="27"/>
      <c r="O318" s="27"/>
      <c r="P318" s="27"/>
      <c r="Q318" s="27"/>
      <c r="R318" s="27"/>
      <c r="S318" s="27"/>
      <c r="T318" s="27"/>
      <c r="U318" s="30"/>
      <c r="V318" s="30"/>
      <c r="W318" s="30"/>
      <c r="X318" s="30"/>
    </row>
    <row r="319" spans="1:35" s="28" customFormat="1" ht="13.8" x14ac:dyDescent="0.3">
      <c r="A319" s="58"/>
      <c r="B319" s="61"/>
      <c r="C319" s="60"/>
      <c r="D319" s="62"/>
      <c r="E319" s="62"/>
      <c r="F319" s="63" t="s">
        <v>35</v>
      </c>
      <c r="G319" s="60"/>
      <c r="H319" s="62"/>
      <c r="I319" s="62"/>
      <c r="J319" s="62"/>
      <c r="K319" s="58"/>
      <c r="L319" s="30"/>
      <c r="M319" s="27"/>
      <c r="N319" s="27"/>
      <c r="O319" s="27"/>
      <c r="P319" s="27"/>
      <c r="Q319" s="27"/>
      <c r="R319" s="27"/>
      <c r="S319" s="27"/>
      <c r="T319" s="27"/>
      <c r="U319" s="30"/>
      <c r="V319" s="30"/>
      <c r="W319" s="30"/>
      <c r="X319" s="30"/>
    </row>
    <row r="320" spans="1:35" s="28" customFormat="1" ht="13.8" x14ac:dyDescent="0.3">
      <c r="A320" s="58"/>
      <c r="B320" s="62"/>
      <c r="C320" s="62"/>
      <c r="D320" s="62"/>
      <c r="E320" s="62"/>
      <c r="F320" s="149" t="s">
        <v>118</v>
      </c>
      <c r="G320" s="62"/>
      <c r="H320" s="62"/>
      <c r="I320" s="62"/>
      <c r="J320" s="62"/>
      <c r="K320" s="58"/>
      <c r="L320" s="30"/>
      <c r="M320" s="27"/>
      <c r="N320" s="27"/>
      <c r="O320" s="27"/>
      <c r="P320" s="27"/>
      <c r="Q320" s="27"/>
      <c r="R320" s="27"/>
      <c r="S320" s="27"/>
      <c r="T320" s="27"/>
      <c r="U320" s="30"/>
      <c r="V320" s="30"/>
      <c r="W320" s="30"/>
      <c r="X320" s="30"/>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sheetData>
  <dataValidations disablePrompts="1" count="1">
    <dataValidation type="list" allowBlank="1" showInputMessage="1" showErrorMessage="1" sqref="C33">
      <formula1>"Normal,Utility,Acrobatic"</formula1>
    </dataValidation>
  </dataValidations>
  <hyperlinks>
    <hyperlink ref="F59" r:id="rId1"/>
    <hyperlink ref="F111" r:id="rId2"/>
    <hyperlink ref="F163" r:id="rId3"/>
    <hyperlink ref="F216" r:id="rId4"/>
    <hyperlink ref="F268" r:id="rId5"/>
    <hyperlink ref="F320" r:id="rId6"/>
  </hyperlinks>
  <pageMargins left="0.47244094488188981" right="0.23622047244094491" top="0.31496062992125984" bottom="0.98425196850393704" header="0.43307086614173229" footer="0.59055118110236227"/>
  <pageSetup orientation="portrait" horizontalDpi="300" r:id="rId7"/>
  <headerFooter alignWithMargins="0">
    <oddFooter>&amp;C&amp;"Arial,Bold"ABBOTT AEROSPACE INC. PROPRIETARY INFORMATION&amp;"Arial,Regular"
Subject to restrictions on the cover or first page</oddFooter>
  </headerFooter>
  <rowBreaks count="5" manualBreakCount="5">
    <brk id="59" max="10" man="1"/>
    <brk id="111" max="10" man="1"/>
    <brk id="163" max="10" man="1"/>
    <brk id="216" max="10" man="1"/>
    <brk id="268" max="10"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2016-03-13T19:04:50Z</dcterms:modified>
  <cp:category>Engineering Spreadsheets</cp:category>
</cp:coreProperties>
</file>