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style10.xml" ContentType="application/vnd.ms-office.chartstyle+xml"/>
  <Override PartName="/xl/charts/colors10.xml" ContentType="application/vnd.ms-office.chartcolorstyle+xml"/>
  <Override PartName="/xl/charts/chart16.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3050" yWindow="375" windowWidth="15495" windowHeight="11775" tabRatio="871" activeTab="1"/>
  </bookViews>
  <sheets>
    <sheet name="READ ME" sheetId="37" r:id="rId1"/>
    <sheet name="Analysis" sheetId="31" r:id="rId2"/>
    <sheet name="Aileron Load" sheetId="38" r:id="rId3"/>
    <sheet name="Elevator Load" sheetId="39" r:id="rId4"/>
    <sheet name="Tab Load" sheetId="42" r:id="rId5"/>
    <sheet name="Rudder Load" sheetId="40" r:id="rId6"/>
    <sheet name="Flap Load" sheetId="41" r:id="rId7"/>
  </sheets>
  <externalReferences>
    <externalReference r:id="rId8"/>
  </externalReferences>
  <definedNames>
    <definedName name="_xlnm.Print_Area" localSheetId="2">'Aileron Load'!$A$8:$K$121</definedName>
    <definedName name="_xlnm.Print_Area" localSheetId="1">Analysis!$A$8:$K$330</definedName>
    <definedName name="_xlnm.Print_Area" localSheetId="3">'Elevator Load'!$A$8:$K$122</definedName>
    <definedName name="_xlnm.Print_Area" localSheetId="6">'Flap Load'!$A$8:$K$180</definedName>
    <definedName name="_xlnm.Print_Area" localSheetId="0">'READ ME'!$A$8:$K$62</definedName>
    <definedName name="_xlnm.Print_Area" localSheetId="5">'Rudder Load'!$A$8:$K$123</definedName>
    <definedName name="_xlnm.Print_Area" localSheetId="4">'Tab Load'!$A$8:$K$123</definedName>
    <definedName name="sencount" hidden="1">1</definedName>
  </definedNames>
  <calcPr calcId="171027"/>
</workbook>
</file>

<file path=xl/calcChain.xml><?xml version="1.0" encoding="utf-8"?>
<calcChain xmlns="http://schemas.openxmlformats.org/spreadsheetml/2006/main">
  <c r="C5" i="41" l="1"/>
  <c r="G4" i="41"/>
  <c r="G3" i="41"/>
  <c r="C3" i="41"/>
  <c r="G2" i="41"/>
  <c r="C1" i="41"/>
  <c r="C5" i="40"/>
  <c r="G4" i="40"/>
  <c r="G3" i="40"/>
  <c r="C3" i="40"/>
  <c r="G2" i="40"/>
  <c r="C1" i="40"/>
  <c r="C5" i="42"/>
  <c r="G4" i="42"/>
  <c r="G3" i="42"/>
  <c r="C3" i="42"/>
  <c r="G2" i="42"/>
  <c r="C1" i="42"/>
  <c r="C5" i="39"/>
  <c r="G4" i="39"/>
  <c r="G3" i="39"/>
  <c r="C3" i="39"/>
  <c r="G2" i="39"/>
  <c r="C1" i="39"/>
  <c r="C3" i="38"/>
  <c r="G4" i="38"/>
  <c r="G2" i="38"/>
  <c r="G3" i="38"/>
  <c r="C5" i="38"/>
  <c r="C1" i="38"/>
  <c r="G1" i="31"/>
  <c r="G1" i="42" s="1"/>
  <c r="M4" i="41"/>
  <c r="M4" i="40"/>
  <c r="M4" i="42"/>
  <c r="M4" i="39"/>
  <c r="M4" i="38"/>
  <c r="G1" i="38" l="1"/>
  <c r="G1" i="41"/>
  <c r="G1" i="40"/>
  <c r="G1" i="39"/>
  <c r="BC18" i="40"/>
  <c r="BD18" i="40" s="1"/>
  <c r="BE18" i="40" s="1"/>
  <c r="BF18" i="40" s="1"/>
  <c r="BG18" i="40" s="1"/>
  <c r="BH18" i="40" s="1"/>
  <c r="BI18" i="40" s="1"/>
  <c r="BJ18" i="40" s="1"/>
  <c r="BK18" i="40" s="1"/>
  <c r="AS18" i="40"/>
  <c r="AT18" i="40" s="1"/>
  <c r="AU18" i="40" s="1"/>
  <c r="AV18" i="40" s="1"/>
  <c r="AW18" i="40" s="1"/>
  <c r="AX18" i="40" s="1"/>
  <c r="AY18" i="40" s="1"/>
  <c r="AZ18" i="40" s="1"/>
  <c r="AR18" i="40"/>
  <c r="AE18" i="40"/>
  <c r="AF18" i="40" s="1"/>
  <c r="AG18" i="40" s="1"/>
  <c r="AH18" i="40" s="1"/>
  <c r="AI18" i="40" s="1"/>
  <c r="AJ18" i="40" s="1"/>
  <c r="AK18" i="40" s="1"/>
  <c r="AL18" i="40" s="1"/>
  <c r="AM18" i="40" s="1"/>
  <c r="BF18" i="39"/>
  <c r="BG18" i="39" s="1"/>
  <c r="BH18" i="39" s="1"/>
  <c r="BI18" i="39" s="1"/>
  <c r="BJ18" i="39" s="1"/>
  <c r="BK18" i="39" s="1"/>
  <c r="BL18" i="39" s="1"/>
  <c r="BM18" i="39" s="1"/>
  <c r="BE18" i="39"/>
  <c r="AT18" i="39"/>
  <c r="AU18" i="39" s="1"/>
  <c r="AV18" i="39" s="1"/>
  <c r="AW18" i="39" s="1"/>
  <c r="AX18" i="39" s="1"/>
  <c r="AY18" i="39" s="1"/>
  <c r="AZ18" i="39" s="1"/>
  <c r="BA18" i="39" s="1"/>
  <c r="BB18" i="39" s="1"/>
  <c r="AG18" i="39"/>
  <c r="AH18" i="39" s="1"/>
  <c r="AI18" i="39" s="1"/>
  <c r="AJ18" i="39" s="1"/>
  <c r="AK18" i="39" s="1"/>
  <c r="AL18" i="39" s="1"/>
  <c r="AM18" i="39" s="1"/>
  <c r="AN18" i="39" s="1"/>
  <c r="AO18" i="39" s="1"/>
  <c r="AP54" i="39"/>
  <c r="Y21" i="39"/>
  <c r="Y22" i="39"/>
  <c r="Y23" i="39"/>
  <c r="Y24" i="39"/>
  <c r="Y25" i="39"/>
  <c r="Y26" i="39"/>
  <c r="Y27" i="39"/>
  <c r="Y28" i="39"/>
  <c r="Y29" i="39"/>
  <c r="Y30" i="39"/>
  <c r="Y31" i="39"/>
  <c r="Y32" i="39"/>
  <c r="Y33" i="39"/>
  <c r="Y34" i="39"/>
  <c r="Y35" i="39"/>
  <c r="Y36" i="39"/>
  <c r="Y37" i="39"/>
  <c r="Y38" i="39"/>
  <c r="Y39" i="39"/>
  <c r="Y40" i="39"/>
  <c r="Y41" i="39"/>
  <c r="Y42" i="39"/>
  <c r="Y43" i="39"/>
  <c r="Y44" i="39"/>
  <c r="Y45" i="39"/>
  <c r="Y46" i="39"/>
  <c r="Y47" i="39"/>
  <c r="Y48" i="39"/>
  <c r="Y49" i="39"/>
  <c r="Y20" i="39"/>
  <c r="D57" i="39"/>
  <c r="D48" i="39"/>
  <c r="X50" i="42"/>
  <c r="E47" i="42"/>
  <c r="AB11" i="42" s="1"/>
  <c r="B69" i="42"/>
  <c r="F68" i="42"/>
  <c r="L67" i="42"/>
  <c r="F67" i="42"/>
  <c r="J66" i="42"/>
  <c r="F66" i="42"/>
  <c r="J65" i="42"/>
  <c r="F65" i="42"/>
  <c r="Y20" i="42"/>
  <c r="G18" i="42"/>
  <c r="C18" i="42"/>
  <c r="AC12" i="42"/>
  <c r="AB12" i="42"/>
  <c r="B12" i="42"/>
  <c r="F11" i="42"/>
  <c r="L10" i="42"/>
  <c r="F10" i="42"/>
  <c r="J9" i="42"/>
  <c r="F9" i="42"/>
  <c r="J8" i="42"/>
  <c r="F8" i="42"/>
  <c r="X7" i="42"/>
  <c r="X6" i="42"/>
  <c r="X5" i="42"/>
  <c r="X4" i="42"/>
  <c r="X3" i="42"/>
  <c r="X2" i="42"/>
  <c r="X1" i="42"/>
  <c r="D54" i="42" l="1"/>
  <c r="W20" i="42"/>
  <c r="X20" i="42" s="1"/>
  <c r="AC11" i="42"/>
  <c r="Y11" i="42"/>
  <c r="J67" i="42"/>
  <c r="J10" i="42"/>
  <c r="B128" i="41"/>
  <c r="F127" i="41"/>
  <c r="L126" i="41"/>
  <c r="F126" i="41"/>
  <c r="J125" i="41"/>
  <c r="F125" i="41"/>
  <c r="J124" i="41"/>
  <c r="F124" i="41"/>
  <c r="G18" i="41"/>
  <c r="C18" i="41"/>
  <c r="G18" i="40"/>
  <c r="C18" i="40"/>
  <c r="G18" i="39"/>
  <c r="C18" i="39"/>
  <c r="G18" i="38"/>
  <c r="C18" i="38"/>
  <c r="D53" i="42"/>
  <c r="D56" i="42" l="1"/>
  <c r="Z20" i="42"/>
  <c r="Y21" i="42" s="1"/>
  <c r="Z21" i="42" s="1"/>
  <c r="Z50" i="42"/>
  <c r="AA50" i="42" s="1"/>
  <c r="Z51" i="42"/>
  <c r="AA51" i="42" s="1"/>
  <c r="AB51" i="42" s="1"/>
  <c r="AA20" i="42"/>
  <c r="AC20" i="42" s="1"/>
  <c r="AD20" i="42" s="1"/>
  <c r="Y12" i="42"/>
  <c r="B69" i="41"/>
  <c r="F68" i="41"/>
  <c r="L67" i="41"/>
  <c r="F67" i="41"/>
  <c r="J66" i="41"/>
  <c r="F66" i="41"/>
  <c r="J65" i="41"/>
  <c r="F65" i="41"/>
  <c r="D50" i="41"/>
  <c r="X20" i="41"/>
  <c r="AB12" i="41"/>
  <c r="AA12" i="41"/>
  <c r="B12" i="41"/>
  <c r="AB11" i="41"/>
  <c r="AA11" i="41"/>
  <c r="X11" i="41"/>
  <c r="Y20" i="41" s="1"/>
  <c r="X21" i="41" s="1"/>
  <c r="Y21" i="41" s="1"/>
  <c r="X22" i="41" s="1"/>
  <c r="F11" i="41"/>
  <c r="L10" i="41"/>
  <c r="F10" i="41"/>
  <c r="J9" i="41"/>
  <c r="F9" i="41"/>
  <c r="J8" i="41"/>
  <c r="F8" i="41"/>
  <c r="X7" i="41"/>
  <c r="X6" i="41"/>
  <c r="X5" i="41"/>
  <c r="X4" i="41"/>
  <c r="X3" i="41"/>
  <c r="X2" i="41"/>
  <c r="X1" i="41"/>
  <c r="J10" i="41" s="1"/>
  <c r="B70" i="40"/>
  <c r="F69" i="40"/>
  <c r="L68" i="40"/>
  <c r="F68" i="40"/>
  <c r="J67" i="40"/>
  <c r="F67" i="40"/>
  <c r="J66" i="40"/>
  <c r="F66" i="40"/>
  <c r="C55" i="40"/>
  <c r="X20" i="40"/>
  <c r="AC12" i="40"/>
  <c r="AB12" i="40"/>
  <c r="AA12" i="40"/>
  <c r="B12" i="40"/>
  <c r="AC11" i="40"/>
  <c r="AB11" i="40"/>
  <c r="AA11" i="40"/>
  <c r="X11" i="40"/>
  <c r="Y20" i="40" s="1"/>
  <c r="X21" i="40" s="1"/>
  <c r="F11" i="40"/>
  <c r="L10" i="40"/>
  <c r="F10" i="40"/>
  <c r="J9" i="40"/>
  <c r="F9" i="40"/>
  <c r="J8" i="40"/>
  <c r="F8" i="40"/>
  <c r="X7" i="40"/>
  <c r="X6" i="40"/>
  <c r="X5" i="40"/>
  <c r="X4" i="40"/>
  <c r="X3" i="40"/>
  <c r="X2" i="40"/>
  <c r="X1" i="40"/>
  <c r="D49" i="41"/>
  <c r="C54" i="40"/>
  <c r="W21" i="42" l="1"/>
  <c r="X21" i="42" s="1"/>
  <c r="Y22" i="42"/>
  <c r="AA21" i="42"/>
  <c r="AB20" i="42"/>
  <c r="AE20" i="42" s="1"/>
  <c r="AB50" i="42"/>
  <c r="AC50" i="42"/>
  <c r="AD50" i="42" s="1"/>
  <c r="AF50" i="42" s="1"/>
  <c r="AF20" i="42"/>
  <c r="AB21" i="42"/>
  <c r="AC21" i="42"/>
  <c r="AD21" i="42" s="1"/>
  <c r="J126" i="41"/>
  <c r="Y22" i="41"/>
  <c r="X23" i="41" s="1"/>
  <c r="J67" i="41"/>
  <c r="Z21" i="41"/>
  <c r="AA21" i="41" s="1"/>
  <c r="Z20" i="41"/>
  <c r="AB20" i="41" s="1"/>
  <c r="AC20" i="41" s="1"/>
  <c r="X12" i="41"/>
  <c r="Z20" i="40"/>
  <c r="AC20" i="40" s="1"/>
  <c r="X12" i="40"/>
  <c r="AA20" i="40"/>
  <c r="AL20" i="40" s="1"/>
  <c r="AB20" i="40"/>
  <c r="CH20" i="40" s="1"/>
  <c r="Y21" i="40"/>
  <c r="X22" i="40" s="1"/>
  <c r="J68" i="40"/>
  <c r="J10" i="40"/>
  <c r="AE12" i="39"/>
  <c r="AE11" i="39"/>
  <c r="AC11" i="39"/>
  <c r="B70" i="39"/>
  <c r="F69" i="39"/>
  <c r="L68" i="39"/>
  <c r="F68" i="39"/>
  <c r="J67" i="39"/>
  <c r="F67" i="39"/>
  <c r="J66" i="39"/>
  <c r="F66" i="39"/>
  <c r="D54" i="39"/>
  <c r="Z20" i="39"/>
  <c r="AD12" i="39"/>
  <c r="AC12" i="39"/>
  <c r="B12" i="39"/>
  <c r="AD11" i="39"/>
  <c r="Z11" i="39"/>
  <c r="AA20" i="39" s="1"/>
  <c r="Z21" i="39" s="1"/>
  <c r="F11" i="39"/>
  <c r="L10" i="39"/>
  <c r="F10" i="39"/>
  <c r="J9" i="39"/>
  <c r="F9" i="39"/>
  <c r="J8" i="39"/>
  <c r="F8" i="39"/>
  <c r="X7" i="39"/>
  <c r="X6" i="39"/>
  <c r="X5" i="39"/>
  <c r="X4" i="39"/>
  <c r="X3" i="39"/>
  <c r="X2" i="39"/>
  <c r="X1" i="39"/>
  <c r="X12" i="38"/>
  <c r="X11" i="38"/>
  <c r="Y20" i="38" s="1"/>
  <c r="X21" i="38" s="1"/>
  <c r="Y21" i="38" s="1"/>
  <c r="X22" i="38" s="1"/>
  <c r="Y22" i="38" s="1"/>
  <c r="X23" i="38" s="1"/>
  <c r="Y23" i="38" s="1"/>
  <c r="X24" i="38" s="1"/>
  <c r="Y24" i="38" s="1"/>
  <c r="X25" i="38" s="1"/>
  <c r="Y25" i="38" s="1"/>
  <c r="X26" i="38" s="1"/>
  <c r="Y26" i="38" s="1"/>
  <c r="X27" i="38" s="1"/>
  <c r="Y27" i="38" s="1"/>
  <c r="X28" i="38" s="1"/>
  <c r="Y28" i="38" s="1"/>
  <c r="X29" i="38" s="1"/>
  <c r="Y29" i="38" s="1"/>
  <c r="X30" i="38" s="1"/>
  <c r="Y30" i="38" s="1"/>
  <c r="X31" i="38" s="1"/>
  <c r="Y31" i="38" s="1"/>
  <c r="X32" i="38" s="1"/>
  <c r="Y32" i="38" s="1"/>
  <c r="X33" i="38" s="1"/>
  <c r="Y33" i="38" s="1"/>
  <c r="X34" i="38" s="1"/>
  <c r="Y34" i="38" s="1"/>
  <c r="X35" i="38" s="1"/>
  <c r="Y35" i="38" s="1"/>
  <c r="X36" i="38" s="1"/>
  <c r="Y36" i="38" s="1"/>
  <c r="X37" i="38" s="1"/>
  <c r="Y37" i="38" s="1"/>
  <c r="X38" i="38" s="1"/>
  <c r="Y38" i="38" s="1"/>
  <c r="X39" i="38" s="1"/>
  <c r="Y39" i="38" s="1"/>
  <c r="X40" i="38" s="1"/>
  <c r="AB12" i="38"/>
  <c r="AB11" i="38"/>
  <c r="AA12" i="38"/>
  <c r="AA11" i="38"/>
  <c r="X20" i="38"/>
  <c r="D52" i="38"/>
  <c r="B69" i="38"/>
  <c r="F68" i="38"/>
  <c r="L67" i="38"/>
  <c r="F67" i="38"/>
  <c r="J66" i="38"/>
  <c r="F66" i="38"/>
  <c r="J65" i="38"/>
  <c r="F65" i="38"/>
  <c r="B12" i="38"/>
  <c r="F11" i="38"/>
  <c r="L10" i="38"/>
  <c r="F10" i="38"/>
  <c r="J9" i="38"/>
  <c r="F9" i="38"/>
  <c r="J8" i="38"/>
  <c r="F8" i="38"/>
  <c r="X7" i="38"/>
  <c r="X6" i="38"/>
  <c r="X5" i="38"/>
  <c r="X4" i="38"/>
  <c r="X3" i="38"/>
  <c r="X2" i="38"/>
  <c r="X1" i="38"/>
  <c r="J10" i="38" s="1"/>
  <c r="D53" i="39"/>
  <c r="D51" i="38"/>
  <c r="W22" i="42" l="1"/>
  <c r="X22" i="42" s="1"/>
  <c r="Z22" i="42"/>
  <c r="Y23" i="42" s="1"/>
  <c r="AE50" i="42"/>
  <c r="AE21" i="42"/>
  <c r="AF21" i="42"/>
  <c r="AA20" i="41"/>
  <c r="AD20" i="41" s="1"/>
  <c r="AB21" i="41"/>
  <c r="AC21" i="41" s="1"/>
  <c r="AE21" i="41" s="1"/>
  <c r="Z22" i="41"/>
  <c r="Y23" i="41"/>
  <c r="X24" i="41" s="1"/>
  <c r="AE20" i="41"/>
  <c r="AD20" i="40"/>
  <c r="Y40" i="38"/>
  <c r="X41" i="38" s="1"/>
  <c r="Y22" i="40"/>
  <c r="X23" i="40" s="1"/>
  <c r="AP20" i="40"/>
  <c r="AO20" i="40"/>
  <c r="CI20" i="40"/>
  <c r="AF20" i="40"/>
  <c r="Z21" i="40"/>
  <c r="AN20" i="40"/>
  <c r="AJ20" i="40"/>
  <c r="AG20" i="40"/>
  <c r="CJ20" i="40"/>
  <c r="AM20" i="40"/>
  <c r="AH20" i="40"/>
  <c r="AE20" i="40"/>
  <c r="AI20" i="40"/>
  <c r="AK20" i="40"/>
  <c r="AA21" i="39"/>
  <c r="Z22" i="39" s="1"/>
  <c r="AB20" i="39"/>
  <c r="J68" i="39"/>
  <c r="J10" i="39"/>
  <c r="Z12" i="39"/>
  <c r="Y41" i="38"/>
  <c r="X42" i="38" s="1"/>
  <c r="Z20" i="38"/>
  <c r="Z22" i="38"/>
  <c r="Z29" i="38"/>
  <c r="Z21" i="38"/>
  <c r="Z33" i="38"/>
  <c r="Z36" i="38"/>
  <c r="Z38" i="38"/>
  <c r="Z37" i="38"/>
  <c r="Z28" i="38"/>
  <c r="Z35" i="38"/>
  <c r="Z27" i="38"/>
  <c r="Z25" i="38"/>
  <c r="Z30" i="38"/>
  <c r="Z34" i="38"/>
  <c r="Z26" i="38"/>
  <c r="Z32" i="38"/>
  <c r="Z24" i="38"/>
  <c r="Z39" i="38"/>
  <c r="Z31" i="38"/>
  <c r="Z23" i="38"/>
  <c r="J67" i="38"/>
  <c r="C12" i="37"/>
  <c r="AE20" i="39" l="1"/>
  <c r="X20" i="39"/>
  <c r="AA22" i="42"/>
  <c r="W23" i="42"/>
  <c r="X23" i="42" s="1"/>
  <c r="Z23" i="42"/>
  <c r="AB22" i="41"/>
  <c r="AC22" i="41" s="1"/>
  <c r="AE22" i="41" s="1"/>
  <c r="AA22" i="41"/>
  <c r="Y24" i="41"/>
  <c r="X25" i="41" s="1"/>
  <c r="AD21" i="41"/>
  <c r="Z23" i="41"/>
  <c r="Z40" i="38"/>
  <c r="AC21" i="40"/>
  <c r="AB21" i="40"/>
  <c r="CH21" i="40" s="1"/>
  <c r="AA21" i="40"/>
  <c r="CK20" i="40"/>
  <c r="CL20" i="40" s="1"/>
  <c r="Y23" i="40"/>
  <c r="X24" i="40" s="1"/>
  <c r="Z22" i="40"/>
  <c r="AC20" i="39"/>
  <c r="AD20" i="39"/>
  <c r="AB21" i="39"/>
  <c r="AA22" i="39"/>
  <c r="Z23" i="39" s="1"/>
  <c r="Y42" i="38"/>
  <c r="X43" i="38" s="1"/>
  <c r="Z41" i="38"/>
  <c r="AA22" i="38"/>
  <c r="AB22" i="38"/>
  <c r="AA20" i="38"/>
  <c r="AB20" i="38"/>
  <c r="AA32" i="38"/>
  <c r="AB32" i="38"/>
  <c r="AA37" i="38"/>
  <c r="AB37" i="38"/>
  <c r="AA26" i="38"/>
  <c r="AB26" i="38"/>
  <c r="AA38" i="38"/>
  <c r="AB38" i="38"/>
  <c r="AA39" i="38"/>
  <c r="AB39" i="38"/>
  <c r="AA28" i="38"/>
  <c r="AB28" i="38"/>
  <c r="AA30" i="38"/>
  <c r="AB30" i="38"/>
  <c r="AA23" i="38"/>
  <c r="AB23" i="38"/>
  <c r="AA25" i="38"/>
  <c r="AB25" i="38"/>
  <c r="AA21" i="38"/>
  <c r="AB21" i="38"/>
  <c r="AA35" i="38"/>
  <c r="AB35" i="38"/>
  <c r="AA24" i="38"/>
  <c r="AB24" i="38"/>
  <c r="AA34" i="38"/>
  <c r="AB34" i="38"/>
  <c r="AA36" i="38"/>
  <c r="AB36" i="38"/>
  <c r="AA33" i="38"/>
  <c r="AB33" i="38"/>
  <c r="AA31" i="38"/>
  <c r="AB31" i="38"/>
  <c r="AA27" i="38"/>
  <c r="AB27" i="38"/>
  <c r="AA29" i="38"/>
  <c r="AB29" i="38"/>
  <c r="AA285" i="31"/>
  <c r="AA286" i="31"/>
  <c r="AA287" i="31"/>
  <c r="AA288" i="31"/>
  <c r="AA289" i="31"/>
  <c r="AA290" i="31"/>
  <c r="AA291" i="31"/>
  <c r="AA292" i="31"/>
  <c r="AA293" i="31"/>
  <c r="AA294" i="31"/>
  <c r="AA295" i="31"/>
  <c r="AA296" i="31"/>
  <c r="AA297" i="31"/>
  <c r="AA308" i="31"/>
  <c r="AA284" i="31"/>
  <c r="Z284" i="31"/>
  <c r="Z285" i="31"/>
  <c r="Z286" i="31"/>
  <c r="Z287" i="31"/>
  <c r="Z288" i="31"/>
  <c r="Z289" i="31"/>
  <c r="Z290" i="31"/>
  <c r="Z291" i="31"/>
  <c r="Z292" i="31"/>
  <c r="Z293" i="31"/>
  <c r="Z294" i="31"/>
  <c r="Z295" i="31"/>
  <c r="Z296" i="31"/>
  <c r="Z297" i="31"/>
  <c r="Z308" i="31"/>
  <c r="Y284" i="31"/>
  <c r="Y285" i="31"/>
  <c r="Y286" i="31"/>
  <c r="Y287" i="31"/>
  <c r="Y288" i="31"/>
  <c r="Y289" i="31"/>
  <c r="Y290" i="31"/>
  <c r="Y291" i="31"/>
  <c r="Y292" i="31"/>
  <c r="Y293" i="31"/>
  <c r="Y294" i="31"/>
  <c r="Y295" i="31"/>
  <c r="Y296" i="31"/>
  <c r="Y297" i="31"/>
  <c r="Y308" i="31"/>
  <c r="X298" i="31"/>
  <c r="Z298" i="31" s="1"/>
  <c r="AB294" i="31"/>
  <c r="AB298" i="31" s="1"/>
  <c r="AC292" i="31"/>
  <c r="AC296" i="31" s="1"/>
  <c r="B278" i="31"/>
  <c r="F277" i="31"/>
  <c r="L276" i="31"/>
  <c r="F276" i="31"/>
  <c r="J275" i="31"/>
  <c r="F275" i="31"/>
  <c r="J274" i="31"/>
  <c r="F274" i="31"/>
  <c r="L219" i="31"/>
  <c r="F219" i="31"/>
  <c r="J218" i="31"/>
  <c r="F218" i="31"/>
  <c r="J217" i="31"/>
  <c r="F217" i="31"/>
  <c r="AC235" i="31"/>
  <c r="AB237" i="31"/>
  <c r="Z230" i="31"/>
  <c r="Z231" i="31"/>
  <c r="Z232" i="31"/>
  <c r="Z233" i="31"/>
  <c r="Z234" i="31"/>
  <c r="Z235" i="31"/>
  <c r="Z236" i="31"/>
  <c r="Z237" i="31"/>
  <c r="Z238" i="31"/>
  <c r="Z239" i="31"/>
  <c r="Z240" i="31"/>
  <c r="Z251" i="31"/>
  <c r="Y230" i="31"/>
  <c r="Y231" i="31"/>
  <c r="Y232" i="31"/>
  <c r="Y233" i="31"/>
  <c r="Y234" i="31"/>
  <c r="Y235" i="31"/>
  <c r="Y236" i="31"/>
  <c r="Y237" i="31"/>
  <c r="Y238" i="31"/>
  <c r="Y239" i="31"/>
  <c r="Y240" i="31"/>
  <c r="Y251" i="31"/>
  <c r="X241" i="31"/>
  <c r="Y241" i="31" s="1"/>
  <c r="V193" i="31"/>
  <c r="AO195" i="31"/>
  <c r="AO196" i="31" s="1"/>
  <c r="AO197" i="31" s="1"/>
  <c r="AO198" i="31" s="1"/>
  <c r="V170" i="31"/>
  <c r="AK187" i="31" s="1"/>
  <c r="AK210" i="31" s="1"/>
  <c r="AE21" i="39" l="1"/>
  <c r="X21" i="39"/>
  <c r="Y24" i="42"/>
  <c r="AA23" i="42"/>
  <c r="AC22" i="42"/>
  <c r="AD22" i="42" s="1"/>
  <c r="AF22" i="42" s="1"/>
  <c r="AB22" i="42"/>
  <c r="AE22" i="42" s="1"/>
  <c r="Z24" i="41"/>
  <c r="Y25" i="41"/>
  <c r="X26" i="41" s="1"/>
  <c r="AA23" i="41"/>
  <c r="AB23" i="41"/>
  <c r="AC23" i="41" s="1"/>
  <c r="AD22" i="41"/>
  <c r="Z42" i="38"/>
  <c r="AA40" i="38"/>
  <c r="AB40" i="38"/>
  <c r="AC40" i="38" s="1"/>
  <c r="AE40" i="38" s="1"/>
  <c r="Z24" i="40"/>
  <c r="Y24" i="40"/>
  <c r="X25" i="40" s="1"/>
  <c r="Z23" i="40"/>
  <c r="AP21" i="40"/>
  <c r="AO21" i="40"/>
  <c r="CI21" i="40"/>
  <c r="AC22" i="40"/>
  <c r="AA22" i="40"/>
  <c r="AB22" i="40"/>
  <c r="CH22" i="40" s="1"/>
  <c r="CJ22" i="40" s="1"/>
  <c r="CJ21" i="40"/>
  <c r="AI21" i="40"/>
  <c r="AH21" i="40"/>
  <c r="AG21" i="40"/>
  <c r="AN21" i="40"/>
  <c r="AF21" i="40"/>
  <c r="AL21" i="40"/>
  <c r="AD21" i="40"/>
  <c r="AK21" i="40"/>
  <c r="AE21" i="40"/>
  <c r="AM21" i="40"/>
  <c r="AJ21" i="40"/>
  <c r="AP20" i="39"/>
  <c r="AK20" i="39"/>
  <c r="AL20" i="39"/>
  <c r="AN20" i="39"/>
  <c r="AH20" i="39"/>
  <c r="AR20" i="39"/>
  <c r="AI20" i="39"/>
  <c r="AJ20" i="39"/>
  <c r="AQ20" i="39"/>
  <c r="AF20" i="39"/>
  <c r="AO20" i="39"/>
  <c r="AG20" i="39"/>
  <c r="AM20" i="39"/>
  <c r="CJ20" i="39"/>
  <c r="CL20" i="39" s="1"/>
  <c r="CK20" i="39"/>
  <c r="CM20" i="39" s="1"/>
  <c r="AB22" i="39"/>
  <c r="AA23" i="39"/>
  <c r="Z24" i="39" s="1"/>
  <c r="AD21" i="39"/>
  <c r="AC21" i="39"/>
  <c r="AC24" i="38"/>
  <c r="AE24" i="38" s="1"/>
  <c r="AD23" i="38"/>
  <c r="AF23" i="38" s="1"/>
  <c r="AC33" i="38"/>
  <c r="AE33" i="38" s="1"/>
  <c r="AC35" i="38"/>
  <c r="AE35" i="38" s="1"/>
  <c r="AC30" i="38"/>
  <c r="AE30" i="38" s="1"/>
  <c r="AC26" i="38"/>
  <c r="AE26" i="38" s="1"/>
  <c r="AC22" i="38"/>
  <c r="AE22" i="38" s="1"/>
  <c r="AC38" i="38"/>
  <c r="AE38" i="38" s="1"/>
  <c r="AD31" i="38"/>
  <c r="AF31" i="38" s="1"/>
  <c r="AD38" i="38"/>
  <c r="AF38" i="38" s="1"/>
  <c r="AC29" i="38"/>
  <c r="AE29" i="38" s="1"/>
  <c r="AC36" i="38"/>
  <c r="AE36" i="38" s="1"/>
  <c r="AC21" i="38"/>
  <c r="AE21" i="38" s="1"/>
  <c r="AC28" i="38"/>
  <c r="AE28" i="38" s="1"/>
  <c r="AC37" i="38"/>
  <c r="AE37" i="38" s="1"/>
  <c r="AD29" i="38"/>
  <c r="AF29" i="38" s="1"/>
  <c r="AD36" i="38"/>
  <c r="AF36" i="38" s="1"/>
  <c r="AD21" i="38"/>
  <c r="AF21" i="38" s="1"/>
  <c r="AD28" i="38"/>
  <c r="AF28" i="38" s="1"/>
  <c r="AD37" i="38"/>
  <c r="AF37" i="38" s="1"/>
  <c r="AC31" i="38"/>
  <c r="AE31" i="38" s="1"/>
  <c r="AC23" i="38"/>
  <c r="AE23" i="38" s="1"/>
  <c r="AC20" i="38"/>
  <c r="AD24" i="38"/>
  <c r="AF24" i="38" s="1"/>
  <c r="AD20" i="38"/>
  <c r="AC27" i="38"/>
  <c r="AE27" i="38" s="1"/>
  <c r="AC34" i="38"/>
  <c r="AE34" i="38" s="1"/>
  <c r="AC25" i="38"/>
  <c r="AE25" i="38" s="1"/>
  <c r="AC39" i="38"/>
  <c r="AE39" i="38" s="1"/>
  <c r="AC32" i="38"/>
  <c r="AE32" i="38" s="1"/>
  <c r="AA41" i="38"/>
  <c r="AB41" i="38"/>
  <c r="AB42" i="38"/>
  <c r="AA42" i="38"/>
  <c r="Y43" i="38"/>
  <c r="X44" i="38" s="1"/>
  <c r="AD33" i="38"/>
  <c r="AF33" i="38" s="1"/>
  <c r="AD30" i="38"/>
  <c r="AF30" i="38" s="1"/>
  <c r="AD22" i="38"/>
  <c r="AF22" i="38" s="1"/>
  <c r="AD27" i="38"/>
  <c r="AF27" i="38" s="1"/>
  <c r="AD25" i="38"/>
  <c r="AF25" i="38" s="1"/>
  <c r="AD32" i="38"/>
  <c r="AF32" i="38" s="1"/>
  <c r="AD34" i="38"/>
  <c r="AF34" i="38" s="1"/>
  <c r="AD39" i="38"/>
  <c r="AF39" i="38" s="1"/>
  <c r="AD35" i="38"/>
  <c r="AF35" i="38" s="1"/>
  <c r="AD26" i="38"/>
  <c r="AF26" i="38" s="1"/>
  <c r="AA298" i="31"/>
  <c r="Z241" i="31"/>
  <c r="X242" i="31"/>
  <c r="Y298" i="31"/>
  <c r="X299" i="31"/>
  <c r="AO199" i="31"/>
  <c r="AT181" i="31"/>
  <c r="AT175" i="31"/>
  <c r="AT198" i="31" s="1"/>
  <c r="W203" i="31" s="1"/>
  <c r="AT172" i="31"/>
  <c r="AO172" i="31"/>
  <c r="AE22" i="39" l="1"/>
  <c r="X22" i="39"/>
  <c r="AR21" i="39"/>
  <c r="AB23" i="42"/>
  <c r="AC23" i="42"/>
  <c r="AD23" i="42" s="1"/>
  <c r="AF23" i="42" s="1"/>
  <c r="W24" i="42"/>
  <c r="X24" i="42" s="1"/>
  <c r="Z24" i="42"/>
  <c r="Y25" i="42" s="1"/>
  <c r="AE23" i="41"/>
  <c r="AD23" i="41"/>
  <c r="Y26" i="41"/>
  <c r="X27" i="41" s="1"/>
  <c r="Z25" i="41"/>
  <c r="AB24" i="41"/>
  <c r="AC24" i="41" s="1"/>
  <c r="AE24" i="41" s="1"/>
  <c r="AA24" i="41"/>
  <c r="AD40" i="38"/>
  <c r="AF40" i="38" s="1"/>
  <c r="AG40" i="38" s="1"/>
  <c r="AB24" i="40"/>
  <c r="CH24" i="40" s="1"/>
  <c r="CJ24" i="40" s="1"/>
  <c r="AC24" i="40"/>
  <c r="AA24" i="40"/>
  <c r="AA23" i="40"/>
  <c r="AB23" i="40"/>
  <c r="CH23" i="40" s="1"/>
  <c r="CJ23" i="40" s="1"/>
  <c r="AC23" i="40"/>
  <c r="AP22" i="40"/>
  <c r="AO22" i="40"/>
  <c r="CI22" i="40"/>
  <c r="CK22" i="40" s="1"/>
  <c r="AI22" i="40"/>
  <c r="AH22" i="40"/>
  <c r="AG22" i="40"/>
  <c r="AN22" i="40"/>
  <c r="AF22" i="40"/>
  <c r="AL22" i="40"/>
  <c r="AD22" i="40"/>
  <c r="AK22" i="40"/>
  <c r="AJ22" i="40"/>
  <c r="AM22" i="40"/>
  <c r="AE22" i="40"/>
  <c r="CK21" i="40"/>
  <c r="Y25" i="40"/>
  <c r="X26" i="40" s="1"/>
  <c r="AB23" i="39"/>
  <c r="CN20" i="39"/>
  <c r="AQ21" i="39"/>
  <c r="AM21" i="39"/>
  <c r="AN21" i="39"/>
  <c r="AG21" i="39"/>
  <c r="AF21" i="39"/>
  <c r="AI21" i="39"/>
  <c r="AJ21" i="39"/>
  <c r="AL21" i="39"/>
  <c r="AH21" i="39"/>
  <c r="AK21" i="39"/>
  <c r="AO21" i="39"/>
  <c r="AP21" i="39"/>
  <c r="CJ21" i="39"/>
  <c r="CL21" i="39" s="1"/>
  <c r="AA24" i="39"/>
  <c r="Z25" i="39" s="1"/>
  <c r="AC22" i="39"/>
  <c r="AD22" i="39"/>
  <c r="CK21" i="39"/>
  <c r="AD41" i="38"/>
  <c r="AF41" i="38" s="1"/>
  <c r="AD42" i="38"/>
  <c r="AF42" i="38" s="1"/>
  <c r="AC42" i="38"/>
  <c r="AE42" i="38" s="1"/>
  <c r="AG21" i="38"/>
  <c r="AG38" i="38"/>
  <c r="AG35" i="38"/>
  <c r="AC41" i="38"/>
  <c r="AE41" i="38" s="1"/>
  <c r="AG25" i="38"/>
  <c r="AE20" i="38"/>
  <c r="AG36" i="38"/>
  <c r="AG22" i="38"/>
  <c r="AG33" i="38"/>
  <c r="AG34" i="38"/>
  <c r="AG23" i="38"/>
  <c r="AF20" i="38"/>
  <c r="AG37" i="38"/>
  <c r="AG29" i="38"/>
  <c r="AG26" i="38"/>
  <c r="AG32" i="38"/>
  <c r="AG27" i="38"/>
  <c r="AG31" i="38"/>
  <c r="AG28" i="38"/>
  <c r="AG30" i="38"/>
  <c r="AG39" i="38"/>
  <c r="AG24" i="38"/>
  <c r="Z43" i="38"/>
  <c r="Y44" i="38"/>
  <c r="X45" i="38" s="1"/>
  <c r="Y242" i="31"/>
  <c r="X243" i="31"/>
  <c r="Z242" i="31"/>
  <c r="Z299" i="31"/>
  <c r="Y299" i="31"/>
  <c r="AA299" i="31"/>
  <c r="AD201" i="31"/>
  <c r="AD202" i="31" s="1"/>
  <c r="X300" i="31"/>
  <c r="AG183" i="31"/>
  <c r="AG184" i="31" s="1"/>
  <c r="AT195" i="31"/>
  <c r="AG186" i="31"/>
  <c r="AG187" i="31" s="1"/>
  <c r="AT204" i="31"/>
  <c r="AO200" i="31"/>
  <c r="W180" i="31"/>
  <c r="AD178" i="31"/>
  <c r="AT178" i="31"/>
  <c r="AT201" i="31" s="1"/>
  <c r="AT188" i="31"/>
  <c r="AD177" i="31" s="1"/>
  <c r="AD180" i="31"/>
  <c r="AD176" i="31"/>
  <c r="AG177" i="31" s="1"/>
  <c r="AG180" i="31" s="1"/>
  <c r="AT184" i="31"/>
  <c r="AD181" i="31" s="1"/>
  <c r="AN171" i="31"/>
  <c r="AJ171" i="31" s="1"/>
  <c r="AO173" i="31"/>
  <c r="Z26" i="41" l="1"/>
  <c r="AA26" i="41" s="1"/>
  <c r="AE23" i="39"/>
  <c r="X23" i="39"/>
  <c r="AE23" i="42"/>
  <c r="AC23" i="39"/>
  <c r="AD23" i="39"/>
  <c r="AA24" i="42"/>
  <c r="W25" i="42"/>
  <c r="X25" i="42" s="1"/>
  <c r="Z25" i="42"/>
  <c r="Y26" i="42" s="1"/>
  <c r="AD24" i="41"/>
  <c r="AB25" i="41"/>
  <c r="AC25" i="41" s="1"/>
  <c r="AE25" i="41" s="1"/>
  <c r="AA25" i="41"/>
  <c r="Y27" i="41"/>
  <c r="X28" i="41" s="1"/>
  <c r="Y26" i="40"/>
  <c r="X27" i="40" s="1"/>
  <c r="AK23" i="40"/>
  <c r="AJ23" i="40"/>
  <c r="AI23" i="40"/>
  <c r="AH23" i="40"/>
  <c r="AN23" i="40"/>
  <c r="AF23" i="40"/>
  <c r="AL23" i="40"/>
  <c r="AE23" i="40"/>
  <c r="AD23" i="40"/>
  <c r="AG23" i="40"/>
  <c r="AM23" i="40"/>
  <c r="AP23" i="40"/>
  <c r="CI23" i="40"/>
  <c r="AO23" i="40"/>
  <c r="CL21" i="40"/>
  <c r="CI24" i="40"/>
  <c r="CK24" i="40" s="1"/>
  <c r="CL24" i="40" s="1"/>
  <c r="AP24" i="40"/>
  <c r="AO24" i="40"/>
  <c r="AM24" i="40"/>
  <c r="AE24" i="40"/>
  <c r="AL24" i="40"/>
  <c r="AD24" i="40"/>
  <c r="AK24" i="40"/>
  <c r="AJ24" i="40"/>
  <c r="AH24" i="40"/>
  <c r="AF24" i="40"/>
  <c r="AN24" i="40"/>
  <c r="AI24" i="40"/>
  <c r="AG24" i="40"/>
  <c r="Z25" i="40"/>
  <c r="CL22" i="40"/>
  <c r="AR22" i="39"/>
  <c r="AK22" i="39"/>
  <c r="AQ22" i="39"/>
  <c r="AL22" i="39"/>
  <c r="AG22" i="39"/>
  <c r="AO22" i="39"/>
  <c r="AF22" i="39"/>
  <c r="AH22" i="39"/>
  <c r="AP22" i="39"/>
  <c r="AI22" i="39"/>
  <c r="AJ22" i="39"/>
  <c r="AM22" i="39"/>
  <c r="AN22" i="39"/>
  <c r="AQ23" i="39"/>
  <c r="AN23" i="39"/>
  <c r="AG23" i="39"/>
  <c r="AL23" i="39"/>
  <c r="CJ22" i="39"/>
  <c r="CL22" i="39" s="1"/>
  <c r="CK22" i="39"/>
  <c r="CM22" i="39" s="1"/>
  <c r="AA25" i="39"/>
  <c r="Z26" i="39" s="1"/>
  <c r="CM21" i="39"/>
  <c r="CN21" i="39" s="1"/>
  <c r="AB24" i="39"/>
  <c r="AG41" i="38"/>
  <c r="AG42" i="38"/>
  <c r="AG20" i="38"/>
  <c r="AA43" i="38"/>
  <c r="AB43" i="38"/>
  <c r="Y45" i="38"/>
  <c r="X46" i="38" s="1"/>
  <c r="Z44" i="38"/>
  <c r="Z243" i="31"/>
  <c r="Y243" i="31"/>
  <c r="X244" i="31"/>
  <c r="AA300" i="31"/>
  <c r="Y300" i="31"/>
  <c r="Z300" i="31"/>
  <c r="AG201" i="31"/>
  <c r="AG204" i="31" s="1"/>
  <c r="X301" i="31"/>
  <c r="AN194" i="31"/>
  <c r="AJ194" i="31" s="1"/>
  <c r="AD199" i="31"/>
  <c r="AG200" i="31" s="1"/>
  <c r="AT207" i="31"/>
  <c r="AD204" i="31" s="1"/>
  <c r="AG206" i="31"/>
  <c r="AG207" i="31" s="1"/>
  <c r="AD203" i="31"/>
  <c r="AT211" i="31"/>
  <c r="AD200" i="31" s="1"/>
  <c r="AG209" i="31"/>
  <c r="AG210" i="31" s="1"/>
  <c r="AO201" i="31"/>
  <c r="W176" i="31"/>
  <c r="AG178" i="31"/>
  <c r="AG181" i="31" s="1"/>
  <c r="AD179" i="31"/>
  <c r="AO174" i="31"/>
  <c r="AB26" i="41" l="1"/>
  <c r="AC26" i="41" s="1"/>
  <c r="AE26" i="41" s="1"/>
  <c r="AM23" i="39"/>
  <c r="AE24" i="39"/>
  <c r="X24" i="39"/>
  <c r="AK23" i="39"/>
  <c r="AJ23" i="39"/>
  <c r="AP23" i="39"/>
  <c r="AI23" i="39"/>
  <c r="CK23" i="39"/>
  <c r="CM23" i="39" s="1"/>
  <c r="AO23" i="39"/>
  <c r="AH23" i="39"/>
  <c r="AF23" i="39"/>
  <c r="AA25" i="42"/>
  <c r="AC25" i="42" s="1"/>
  <c r="AD25" i="42" s="1"/>
  <c r="AF25" i="42" s="1"/>
  <c r="CJ23" i="39"/>
  <c r="CL23" i="39" s="1"/>
  <c r="AR23" i="39"/>
  <c r="AC24" i="42"/>
  <c r="AD24" i="42" s="1"/>
  <c r="AF24" i="42" s="1"/>
  <c r="AB24" i="42"/>
  <c r="W26" i="42"/>
  <c r="X26" i="42" s="1"/>
  <c r="Z26" i="42"/>
  <c r="Y27" i="42" s="1"/>
  <c r="AB25" i="42"/>
  <c r="AD25" i="41"/>
  <c r="Y28" i="41"/>
  <c r="X29" i="41" s="1"/>
  <c r="Z27" i="41"/>
  <c r="Z45" i="38"/>
  <c r="CK23" i="40"/>
  <c r="AA25" i="40"/>
  <c r="AC25" i="40"/>
  <c r="AB25" i="40"/>
  <c r="CH25" i="40" s="1"/>
  <c r="Y27" i="40"/>
  <c r="X28" i="40" s="1"/>
  <c r="Z27" i="40"/>
  <c r="Z26" i="40"/>
  <c r="AB25" i="39"/>
  <c r="X25" i="39" s="1"/>
  <c r="AC24" i="39"/>
  <c r="AD24" i="39"/>
  <c r="AA26" i="39"/>
  <c r="Z27" i="39" s="1"/>
  <c r="CN22" i="39"/>
  <c r="AC43" i="38"/>
  <c r="AB44" i="38"/>
  <c r="AA44" i="38"/>
  <c r="Y46" i="38"/>
  <c r="X47" i="38" s="1"/>
  <c r="AB45" i="38"/>
  <c r="AA45" i="38"/>
  <c r="AD45" i="38" s="1"/>
  <c r="AF45" i="38" s="1"/>
  <c r="AD43" i="38"/>
  <c r="X245" i="31"/>
  <c r="Y244" i="31"/>
  <c r="Z244" i="31"/>
  <c r="Y301" i="31"/>
  <c r="Z301" i="31"/>
  <c r="AA301" i="31"/>
  <c r="X302" i="31"/>
  <c r="AG203" i="31"/>
  <c r="W199" i="31"/>
  <c r="AO202" i="31"/>
  <c r="AO175" i="31"/>
  <c r="AD26" i="41" l="1"/>
  <c r="CN23" i="39"/>
  <c r="AE25" i="42"/>
  <c r="AA26" i="42"/>
  <c r="W27" i="42"/>
  <c r="X27" i="42" s="1"/>
  <c r="Z27" i="42"/>
  <c r="Y28" i="42" s="1"/>
  <c r="AA27" i="42"/>
  <c r="AE24" i="42"/>
  <c r="AB27" i="41"/>
  <c r="AC27" i="41" s="1"/>
  <c r="AE27" i="41" s="1"/>
  <c r="AA27" i="41"/>
  <c r="Z28" i="41"/>
  <c r="Y29" i="41"/>
  <c r="X30" i="41" s="1"/>
  <c r="Z46" i="38"/>
  <c r="AC27" i="40"/>
  <c r="AB27" i="40"/>
  <c r="CH27" i="40" s="1"/>
  <c r="CJ27" i="40" s="1"/>
  <c r="AA27" i="40"/>
  <c r="CJ25" i="40"/>
  <c r="AN25" i="40"/>
  <c r="AF25" i="40"/>
  <c r="AM25" i="40"/>
  <c r="AE25" i="40"/>
  <c r="AL25" i="40"/>
  <c r="AD25" i="40"/>
  <c r="AK25" i="40"/>
  <c r="AI25" i="40"/>
  <c r="AJ25" i="40"/>
  <c r="AH25" i="40"/>
  <c r="AG25" i="40"/>
  <c r="AB26" i="40"/>
  <c r="CH26" i="40" s="1"/>
  <c r="CJ26" i="40" s="1"/>
  <c r="AC26" i="40"/>
  <c r="AA26" i="40"/>
  <c r="CI25" i="40"/>
  <c r="AP25" i="40"/>
  <c r="AO25" i="40"/>
  <c r="CL23" i="40"/>
  <c r="Y28" i="40"/>
  <c r="X29" i="40" s="1"/>
  <c r="AR24" i="39"/>
  <c r="AC25" i="39"/>
  <c r="AE25" i="39"/>
  <c r="AG24" i="39"/>
  <c r="AO24" i="39"/>
  <c r="AH24" i="39"/>
  <c r="AP24" i="39"/>
  <c r="AK24" i="39"/>
  <c r="AL24" i="39"/>
  <c r="AQ24" i="39"/>
  <c r="AN24" i="39"/>
  <c r="AI24" i="39"/>
  <c r="AF24" i="39"/>
  <c r="AJ24" i="39"/>
  <c r="AM24" i="39"/>
  <c r="CJ24" i="39"/>
  <c r="CL24" i="39" s="1"/>
  <c r="AD25" i="39"/>
  <c r="AA27" i="39"/>
  <c r="Z28" i="39" s="1"/>
  <c r="AB26" i="39"/>
  <c r="CK24" i="39"/>
  <c r="AD44" i="38"/>
  <c r="AF44" i="38" s="1"/>
  <c r="AC44" i="38"/>
  <c r="AE44" i="38" s="1"/>
  <c r="AE43" i="38"/>
  <c r="AC45" i="38"/>
  <c r="AE45" i="38" s="1"/>
  <c r="AF43" i="38"/>
  <c r="AB46" i="38"/>
  <c r="AA46" i="38"/>
  <c r="Y47" i="38"/>
  <c r="X48" i="38" s="1"/>
  <c r="Z245" i="31"/>
  <c r="Y245" i="31"/>
  <c r="X246" i="31"/>
  <c r="Z302" i="31"/>
  <c r="Y302" i="31"/>
  <c r="AA302" i="31"/>
  <c r="X303" i="31"/>
  <c r="AO203" i="31"/>
  <c r="AO176" i="31"/>
  <c r="AE26" i="39" l="1"/>
  <c r="X26" i="39"/>
  <c r="AK25" i="39"/>
  <c r="AB27" i="42"/>
  <c r="AC27" i="42"/>
  <c r="AD27" i="42" s="1"/>
  <c r="AF27" i="42" s="1"/>
  <c r="W28" i="42"/>
  <c r="X28" i="42" s="1"/>
  <c r="Z28" i="42"/>
  <c r="Y29" i="42" s="1"/>
  <c r="AA28" i="42"/>
  <c r="AC26" i="42"/>
  <c r="AD26" i="42" s="1"/>
  <c r="AF26" i="42" s="1"/>
  <c r="AB26" i="42"/>
  <c r="AE26" i="42" s="1"/>
  <c r="AA28" i="41"/>
  <c r="AB28" i="41"/>
  <c r="AC28" i="41" s="1"/>
  <c r="AE28" i="41" s="1"/>
  <c r="Y30" i="41"/>
  <c r="X31" i="41" s="1"/>
  <c r="AD27" i="41"/>
  <c r="Z29" i="41"/>
  <c r="AF25" i="39"/>
  <c r="CI26" i="40"/>
  <c r="CK26" i="40" s="1"/>
  <c r="CL26" i="40" s="1"/>
  <c r="AP26" i="40"/>
  <c r="AO26" i="40"/>
  <c r="AH26" i="40"/>
  <c r="AG26" i="40"/>
  <c r="AN26" i="40"/>
  <c r="AF26" i="40"/>
  <c r="AM26" i="40"/>
  <c r="AE26" i="40"/>
  <c r="AK26" i="40"/>
  <c r="AL26" i="40"/>
  <c r="AJ26" i="40"/>
  <c r="AI26" i="40"/>
  <c r="AD26" i="40"/>
  <c r="Y29" i="40"/>
  <c r="X30" i="40" s="1"/>
  <c r="AG27" i="40"/>
  <c r="AM27" i="40"/>
  <c r="AE27" i="40"/>
  <c r="AK27" i="40"/>
  <c r="AI27" i="40"/>
  <c r="AF27" i="40"/>
  <c r="AD27" i="40"/>
  <c r="AN27" i="40"/>
  <c r="AL27" i="40"/>
  <c r="AH27" i="40"/>
  <c r="AJ27" i="40"/>
  <c r="CK25" i="40"/>
  <c r="AO27" i="40"/>
  <c r="CI27" i="40"/>
  <c r="CK27" i="40" s="1"/>
  <c r="CL27" i="40" s="1"/>
  <c r="AP27" i="40"/>
  <c r="Z28" i="40"/>
  <c r="AJ25" i="39"/>
  <c r="AH25" i="39"/>
  <c r="AI25" i="39"/>
  <c r="AQ25" i="39"/>
  <c r="AP25" i="39"/>
  <c r="AO25" i="39"/>
  <c r="AM25" i="39"/>
  <c r="AN25" i="39"/>
  <c r="AG25" i="39"/>
  <c r="AL25" i="39"/>
  <c r="AR25" i="39"/>
  <c r="CJ25" i="39"/>
  <c r="CL25" i="39" s="1"/>
  <c r="CK25" i="39"/>
  <c r="CM25" i="39" s="1"/>
  <c r="AB27" i="39"/>
  <c r="AA28" i="39"/>
  <c r="Z29" i="39" s="1"/>
  <c r="CM24" i="39"/>
  <c r="CN24" i="39" s="1"/>
  <c r="AC26" i="39"/>
  <c r="AD26" i="39"/>
  <c r="AG45" i="38"/>
  <c r="AG43" i="38"/>
  <c r="AC46" i="38"/>
  <c r="AE46" i="38" s="1"/>
  <c r="AG44" i="38"/>
  <c r="Y48" i="38"/>
  <c r="X49" i="38" s="1"/>
  <c r="Z47" i="38"/>
  <c r="AD46" i="38"/>
  <c r="Z246" i="31"/>
  <c r="Y246" i="31"/>
  <c r="X247" i="31"/>
  <c r="Y303" i="31"/>
  <c r="AA303" i="31"/>
  <c r="Z303" i="31"/>
  <c r="X304" i="31"/>
  <c r="AO204" i="31"/>
  <c r="AO177" i="31"/>
  <c r="AE27" i="39" l="1"/>
  <c r="X27" i="39"/>
  <c r="AB28" i="42"/>
  <c r="AC28" i="42"/>
  <c r="AD28" i="42" s="1"/>
  <c r="AF28" i="42" s="1"/>
  <c r="W29" i="42"/>
  <c r="X29" i="42" s="1"/>
  <c r="Z29" i="42"/>
  <c r="Y30" i="42" s="1"/>
  <c r="AA29" i="42"/>
  <c r="AE27" i="42"/>
  <c r="Y31" i="41"/>
  <c r="X32" i="41" s="1"/>
  <c r="Z30" i="41"/>
  <c r="AA29" i="41"/>
  <c r="AB29" i="41"/>
  <c r="AC29" i="41" s="1"/>
  <c r="AE29" i="41" s="1"/>
  <c r="AD28" i="41"/>
  <c r="Z48" i="38"/>
  <c r="Y30" i="40"/>
  <c r="X31" i="40" s="1"/>
  <c r="Z29" i="40"/>
  <c r="AC28" i="40"/>
  <c r="AA28" i="40"/>
  <c r="AB28" i="40"/>
  <c r="CH28" i="40" s="1"/>
  <c r="CJ28" i="40" s="1"/>
  <c r="CL25" i="40"/>
  <c r="AR26" i="39"/>
  <c r="AK26" i="39"/>
  <c r="AF26" i="39"/>
  <c r="AL26" i="39"/>
  <c r="AG26" i="39"/>
  <c r="AO26" i="39"/>
  <c r="AQ26" i="39"/>
  <c r="AH26" i="39"/>
  <c r="AP26" i="39"/>
  <c r="AJ26" i="39"/>
  <c r="AI26" i="39"/>
  <c r="AM26" i="39"/>
  <c r="AN26" i="39"/>
  <c r="CN25" i="39"/>
  <c r="CJ26" i="39"/>
  <c r="CL26" i="39" s="1"/>
  <c r="AD27" i="39"/>
  <c r="AC27" i="39"/>
  <c r="CK26" i="39"/>
  <c r="AA29" i="39"/>
  <c r="Z30" i="39" s="1"/>
  <c r="AB28" i="39"/>
  <c r="AF46" i="38"/>
  <c r="AG46" i="38" s="1"/>
  <c r="AA48" i="38"/>
  <c r="AB48" i="38"/>
  <c r="AA47" i="38"/>
  <c r="AB47" i="38"/>
  <c r="Y49" i="38"/>
  <c r="Z49" i="38" s="1"/>
  <c r="X248" i="31"/>
  <c r="Z247" i="31"/>
  <c r="Y247" i="31"/>
  <c r="AA304" i="31"/>
  <c r="Z304" i="31"/>
  <c r="Y304" i="31"/>
  <c r="X305" i="31"/>
  <c r="AO205" i="31"/>
  <c r="AO178" i="31"/>
  <c r="AE28" i="39" l="1"/>
  <c r="X28" i="39"/>
  <c r="AR27" i="39"/>
  <c r="AB29" i="42"/>
  <c r="AC29" i="42"/>
  <c r="AD29" i="42" s="1"/>
  <c r="AF29" i="42" s="1"/>
  <c r="W30" i="42"/>
  <c r="X30" i="42" s="1"/>
  <c r="Z30" i="42"/>
  <c r="Y31" i="42" s="1"/>
  <c r="AA30" i="42"/>
  <c r="AE28" i="42"/>
  <c r="AB30" i="41"/>
  <c r="AC30" i="41" s="1"/>
  <c r="AE30" i="41" s="1"/>
  <c r="AA30" i="41"/>
  <c r="Y32" i="41"/>
  <c r="X33" i="41" s="1"/>
  <c r="AD29" i="41"/>
  <c r="Z31" i="41"/>
  <c r="AI28" i="40"/>
  <c r="AG28" i="40"/>
  <c r="AN28" i="40"/>
  <c r="AF28" i="40"/>
  <c r="AM28" i="40"/>
  <c r="AE28" i="40"/>
  <c r="AK28" i="40"/>
  <c r="AL28" i="40"/>
  <c r="AJ28" i="40"/>
  <c r="AH28" i="40"/>
  <c r="AD28" i="40"/>
  <c r="Y31" i="40"/>
  <c r="X32" i="40" s="1"/>
  <c r="AA29" i="40"/>
  <c r="AB29" i="40"/>
  <c r="CH29" i="40" s="1"/>
  <c r="CJ29" i="40" s="1"/>
  <c r="AC29" i="40"/>
  <c r="Z30" i="40"/>
  <c r="AO28" i="40"/>
  <c r="CI28" i="40"/>
  <c r="CK28" i="40" s="1"/>
  <c r="CL28" i="40" s="1"/>
  <c r="AP28" i="40"/>
  <c r="AQ27" i="39"/>
  <c r="AI27" i="39"/>
  <c r="AJ27" i="39"/>
  <c r="AF27" i="39"/>
  <c r="AM27" i="39"/>
  <c r="AN27" i="39"/>
  <c r="AP27" i="39"/>
  <c r="AG27" i="39"/>
  <c r="AH27" i="39"/>
  <c r="AK27" i="39"/>
  <c r="AO27" i="39"/>
  <c r="AL27" i="39"/>
  <c r="CJ27" i="39"/>
  <c r="CL27" i="39" s="1"/>
  <c r="CM26" i="39"/>
  <c r="CN26" i="39" s="1"/>
  <c r="AC28" i="39"/>
  <c r="AD28" i="39"/>
  <c r="CK27" i="39"/>
  <c r="CM27" i="39" s="1"/>
  <c r="AA30" i="39"/>
  <c r="Z31" i="39" s="1"/>
  <c r="AB29" i="39"/>
  <c r="AD47" i="38"/>
  <c r="AC47" i="38"/>
  <c r="AC48" i="38"/>
  <c r="AE48" i="38" s="1"/>
  <c r="AD48" i="38"/>
  <c r="AF48" i="38" s="1"/>
  <c r="AA49" i="38"/>
  <c r="AB49" i="38"/>
  <c r="Y248" i="31"/>
  <c r="X249" i="31"/>
  <c r="Z248" i="31"/>
  <c r="Y305" i="31"/>
  <c r="AA305" i="31"/>
  <c r="Z305" i="31"/>
  <c r="X306" i="31"/>
  <c r="AO206" i="31"/>
  <c r="AO179" i="31"/>
  <c r="AE29" i="39" l="1"/>
  <c r="X29" i="39"/>
  <c r="AB30" i="42"/>
  <c r="AC30" i="42"/>
  <c r="AD30" i="42" s="1"/>
  <c r="AF30" i="42" s="1"/>
  <c r="W31" i="42"/>
  <c r="X31" i="42" s="1"/>
  <c r="Z31" i="42"/>
  <c r="Y32" i="42" s="1"/>
  <c r="AA31" i="42"/>
  <c r="AE29" i="42"/>
  <c r="Y33" i="41"/>
  <c r="X34" i="41" s="1"/>
  <c r="AD30" i="41"/>
  <c r="AB31" i="41"/>
  <c r="AC31" i="41" s="1"/>
  <c r="AE31" i="41" s="1"/>
  <c r="AA31" i="41"/>
  <c r="Z32" i="41"/>
  <c r="AJ29" i="40"/>
  <c r="AH29" i="40"/>
  <c r="AG29" i="40"/>
  <c r="AN29" i="40"/>
  <c r="AF29" i="40"/>
  <c r="AL29" i="40"/>
  <c r="AD29" i="40"/>
  <c r="AK29" i="40"/>
  <c r="AI29" i="40"/>
  <c r="AE29" i="40"/>
  <c r="AM29" i="40"/>
  <c r="Z31" i="40"/>
  <c r="AP29" i="40"/>
  <c r="AO29" i="40"/>
  <c r="CI29" i="40"/>
  <c r="CK29" i="40" s="1"/>
  <c r="Y32" i="40"/>
  <c r="X33" i="40" s="1"/>
  <c r="AA30" i="40"/>
  <c r="AB30" i="40"/>
  <c r="CH30" i="40" s="1"/>
  <c r="CJ30" i="40" s="1"/>
  <c r="AC30" i="40"/>
  <c r="AR28" i="39"/>
  <c r="AG28" i="39"/>
  <c r="AO28" i="39"/>
  <c r="AH28" i="39"/>
  <c r="AP28" i="39"/>
  <c r="AK28" i="39"/>
  <c r="AL28" i="39"/>
  <c r="AF28" i="39"/>
  <c r="AM28" i="39"/>
  <c r="AN28" i="39"/>
  <c r="AQ28" i="39"/>
  <c r="AI28" i="39"/>
  <c r="AJ28" i="39"/>
  <c r="CJ28" i="39"/>
  <c r="CL28" i="39" s="1"/>
  <c r="AC29" i="39"/>
  <c r="AD29" i="39"/>
  <c r="CK28" i="39"/>
  <c r="CM28" i="39" s="1"/>
  <c r="AA31" i="39"/>
  <c r="Z32" i="39" s="1"/>
  <c r="AB30" i="39"/>
  <c r="CN27" i="39"/>
  <c r="AG48" i="38"/>
  <c r="AE47" i="38"/>
  <c r="AC49" i="38"/>
  <c r="AE49" i="38" s="1"/>
  <c r="AF47" i="38"/>
  <c r="AD49" i="38"/>
  <c r="AF49" i="38" s="1"/>
  <c r="Y249" i="31"/>
  <c r="Z249" i="31"/>
  <c r="X250" i="31"/>
  <c r="Z306" i="31"/>
  <c r="AA306" i="31"/>
  <c r="Y306" i="31"/>
  <c r="X307" i="31"/>
  <c r="AO207" i="31"/>
  <c r="AO180" i="31"/>
  <c r="AE30" i="39" l="1"/>
  <c r="X30" i="39"/>
  <c r="AB31" i="42"/>
  <c r="AC31" i="42"/>
  <c r="AD31" i="42" s="1"/>
  <c r="AF31" i="42" s="1"/>
  <c r="W32" i="42"/>
  <c r="X32" i="42" s="1"/>
  <c r="Z32" i="42"/>
  <c r="Y33" i="42" s="1"/>
  <c r="AA32" i="42"/>
  <c r="AE30" i="42"/>
  <c r="AD31" i="41"/>
  <c r="AB32" i="41"/>
  <c r="AC32" i="41" s="1"/>
  <c r="AE32" i="41" s="1"/>
  <c r="AA32" i="41"/>
  <c r="Y34" i="41"/>
  <c r="X35" i="41" s="1"/>
  <c r="Z33" i="41"/>
  <c r="AL30" i="40"/>
  <c r="AD30" i="40"/>
  <c r="AK30" i="40"/>
  <c r="AJ30" i="40"/>
  <c r="AI30" i="40"/>
  <c r="AH30" i="40"/>
  <c r="AG30" i="40"/>
  <c r="AN30" i="40"/>
  <c r="AF30" i="40"/>
  <c r="AM30" i="40"/>
  <c r="AE30" i="40"/>
  <c r="AP30" i="40"/>
  <c r="AO30" i="40"/>
  <c r="CI30" i="40"/>
  <c r="CK30" i="40" s="1"/>
  <c r="Y33" i="40"/>
  <c r="X34" i="40" s="1"/>
  <c r="Z32" i="40"/>
  <c r="AA31" i="40"/>
  <c r="AB31" i="40"/>
  <c r="CH31" i="40" s="1"/>
  <c r="CJ31" i="40" s="1"/>
  <c r="AC31" i="40"/>
  <c r="CL29" i="40"/>
  <c r="AR29" i="39"/>
  <c r="AQ29" i="39"/>
  <c r="AM29" i="39"/>
  <c r="AN29" i="39"/>
  <c r="AF29" i="39"/>
  <c r="AI29" i="39"/>
  <c r="AJ29" i="39"/>
  <c r="AK29" i="39"/>
  <c r="AL29" i="39"/>
  <c r="AG29" i="39"/>
  <c r="AH29" i="39"/>
  <c r="AP29" i="39"/>
  <c r="AO29" i="39"/>
  <c r="CN28" i="39"/>
  <c r="CJ29" i="39"/>
  <c r="CL29" i="39" s="1"/>
  <c r="CK29" i="39"/>
  <c r="CM29" i="39" s="1"/>
  <c r="AB31" i="39"/>
  <c r="AD30" i="39"/>
  <c r="AC30" i="39"/>
  <c r="AA32" i="39"/>
  <c r="Z33" i="39" s="1"/>
  <c r="AD51" i="38"/>
  <c r="AG49" i="38"/>
  <c r="AC51" i="38"/>
  <c r="AG47" i="38"/>
  <c r="Y250" i="31"/>
  <c r="Z250" i="31"/>
  <c r="Y307" i="31"/>
  <c r="Z307" i="31"/>
  <c r="AA307" i="31"/>
  <c r="AO208" i="31"/>
  <c r="AO181" i="31"/>
  <c r="AE31" i="39" l="1"/>
  <c r="X31" i="39"/>
  <c r="AB32" i="42"/>
  <c r="AC32" i="42"/>
  <c r="AD32" i="42" s="1"/>
  <c r="AF32" i="42" s="1"/>
  <c r="W33" i="42"/>
  <c r="X33" i="42" s="1"/>
  <c r="Z33" i="42"/>
  <c r="Y34" i="42" s="1"/>
  <c r="AA33" i="42"/>
  <c r="AE31" i="42"/>
  <c r="AD32" i="41"/>
  <c r="AA33" i="41"/>
  <c r="AB33" i="41"/>
  <c r="AC33" i="41" s="1"/>
  <c r="AE33" i="41" s="1"/>
  <c r="Y35" i="41"/>
  <c r="X36" i="41" s="1"/>
  <c r="Z34" i="41"/>
  <c r="AA32" i="40"/>
  <c r="AC32" i="40"/>
  <c r="AB32" i="40"/>
  <c r="CH32" i="40" s="1"/>
  <c r="CJ32" i="40" s="1"/>
  <c r="CL30" i="40"/>
  <c r="Y34" i="40"/>
  <c r="X35" i="40" s="1"/>
  <c r="CI31" i="40"/>
  <c r="CK31" i="40" s="1"/>
  <c r="AP31" i="40"/>
  <c r="AO31" i="40"/>
  <c r="CL31" i="40"/>
  <c r="Z33" i="40"/>
  <c r="AM31" i="40"/>
  <c r="AE31" i="40"/>
  <c r="AL31" i="40"/>
  <c r="AD31" i="40"/>
  <c r="AK31" i="40"/>
  <c r="AJ31" i="40"/>
  <c r="AI31" i="40"/>
  <c r="AH31" i="40"/>
  <c r="AG31" i="40"/>
  <c r="AN31" i="40"/>
  <c r="AF31" i="40"/>
  <c r="AR30" i="39"/>
  <c r="CN29" i="39"/>
  <c r="AB32" i="39"/>
  <c r="AK30" i="39"/>
  <c r="AQ30" i="39"/>
  <c r="AL30" i="39"/>
  <c r="AG30" i="39"/>
  <c r="AO30" i="39"/>
  <c r="AF30" i="39"/>
  <c r="AH30" i="39"/>
  <c r="AP30" i="39"/>
  <c r="AM30" i="39"/>
  <c r="AN30" i="39"/>
  <c r="AI30" i="39"/>
  <c r="AJ30" i="39"/>
  <c r="CJ30" i="39"/>
  <c r="CL30" i="39" s="1"/>
  <c r="AA33" i="39"/>
  <c r="Z34" i="39" s="1"/>
  <c r="AC31" i="39"/>
  <c r="AD31" i="39"/>
  <c r="CK30" i="39"/>
  <c r="CM30" i="39" s="1"/>
  <c r="AD53" i="38"/>
  <c r="AG51" i="38"/>
  <c r="AI12" i="38" s="1"/>
  <c r="AJ47" i="38" s="1"/>
  <c r="AO209" i="31"/>
  <c r="AO182" i="31"/>
  <c r="AE32" i="39" l="1"/>
  <c r="AK32" i="39" s="1"/>
  <c r="X32" i="39"/>
  <c r="AB33" i="39"/>
  <c r="AD32" i="39"/>
  <c r="AB33" i="42"/>
  <c r="AC33" i="42"/>
  <c r="AD33" i="42" s="1"/>
  <c r="AF33" i="42" s="1"/>
  <c r="W34" i="42"/>
  <c r="X34" i="42" s="1"/>
  <c r="Z34" i="42"/>
  <c r="Y35" i="42" s="1"/>
  <c r="AE32" i="42"/>
  <c r="Z35" i="41"/>
  <c r="AA35" i="41" s="1"/>
  <c r="AD33" i="41"/>
  <c r="AB34" i="41"/>
  <c r="AC34" i="41" s="1"/>
  <c r="AE34" i="41" s="1"/>
  <c r="AA34" i="41"/>
  <c r="Y36" i="41"/>
  <c r="X37" i="41" s="1"/>
  <c r="Z35" i="40"/>
  <c r="Y35" i="40"/>
  <c r="X36" i="40" s="1"/>
  <c r="Z34" i="40"/>
  <c r="AB33" i="40"/>
  <c r="CH33" i="40" s="1"/>
  <c r="CJ33" i="40" s="1"/>
  <c r="AC33" i="40"/>
  <c r="AA33" i="40"/>
  <c r="AN32" i="40"/>
  <c r="AF32" i="40"/>
  <c r="AM32" i="40"/>
  <c r="AE32" i="40"/>
  <c r="AL32" i="40"/>
  <c r="AD32" i="40"/>
  <c r="AK32" i="40"/>
  <c r="AJ32" i="40"/>
  <c r="AI32" i="40"/>
  <c r="AH32" i="40"/>
  <c r="AG32" i="40"/>
  <c r="CI32" i="40"/>
  <c r="CK32" i="40" s="1"/>
  <c r="AP32" i="40"/>
  <c r="AO32" i="40"/>
  <c r="CN30" i="39"/>
  <c r="AC32" i="39"/>
  <c r="AR31" i="39"/>
  <c r="AF31" i="39"/>
  <c r="AI31" i="39"/>
  <c r="AJ31" i="39"/>
  <c r="AQ31" i="39"/>
  <c r="AM31" i="39"/>
  <c r="AN31" i="39"/>
  <c r="AG31" i="39"/>
  <c r="AK31" i="39"/>
  <c r="AL31" i="39"/>
  <c r="AP31" i="39"/>
  <c r="AH31" i="39"/>
  <c r="AO31" i="39"/>
  <c r="CJ31" i="39"/>
  <c r="CL31" i="39" s="1"/>
  <c r="CJ32" i="39"/>
  <c r="CL32" i="39" s="1"/>
  <c r="CK31" i="39"/>
  <c r="CM31" i="39" s="1"/>
  <c r="AA34" i="39"/>
  <c r="Z35" i="39" s="1"/>
  <c r="AD33" i="39"/>
  <c r="AC33" i="39"/>
  <c r="AJ49" i="38"/>
  <c r="AH40" i="38"/>
  <c r="AK40" i="38" s="1"/>
  <c r="AI40" i="38"/>
  <c r="AL40" i="38" s="1"/>
  <c r="AM40" i="38" s="1"/>
  <c r="AI37" i="38"/>
  <c r="AL37" i="38" s="1"/>
  <c r="AH38" i="38"/>
  <c r="AK38" i="38" s="1"/>
  <c r="AH36" i="38"/>
  <c r="AK36" i="38" s="1"/>
  <c r="AI41" i="38"/>
  <c r="AL41" i="38" s="1"/>
  <c r="AH39" i="38"/>
  <c r="AK39" i="38" s="1"/>
  <c r="AI28" i="38"/>
  <c r="AL28" i="38" s="1"/>
  <c r="AI32" i="38"/>
  <c r="AL32" i="38" s="1"/>
  <c r="AH35" i="38"/>
  <c r="AK35" i="38" s="1"/>
  <c r="AI30" i="38"/>
  <c r="AL30" i="38" s="1"/>
  <c r="AI33" i="38"/>
  <c r="AL33" i="38" s="1"/>
  <c r="AI23" i="38"/>
  <c r="AL23" i="38" s="1"/>
  <c r="AH24" i="38"/>
  <c r="AK24" i="38" s="1"/>
  <c r="AI36" i="38"/>
  <c r="AL36" i="38" s="1"/>
  <c r="AH22" i="38"/>
  <c r="AK22" i="38" s="1"/>
  <c r="AJ40" i="38"/>
  <c r="AH37" i="38"/>
  <c r="AK37" i="38" s="1"/>
  <c r="AH32" i="38"/>
  <c r="AK32" i="38" s="1"/>
  <c r="AH28" i="38"/>
  <c r="AK28" i="38" s="1"/>
  <c r="AI25" i="38"/>
  <c r="AL25" i="38" s="1"/>
  <c r="AI31" i="38"/>
  <c r="AL31" i="38" s="1"/>
  <c r="AH33" i="38"/>
  <c r="AK33" i="38" s="1"/>
  <c r="AI42" i="38"/>
  <c r="AL42" i="38" s="1"/>
  <c r="AH29" i="38"/>
  <c r="AK29" i="38" s="1"/>
  <c r="AH26" i="38"/>
  <c r="AK26" i="38" s="1"/>
  <c r="AI39" i="38"/>
  <c r="AL39" i="38" s="1"/>
  <c r="AH23" i="38"/>
  <c r="AK23" i="38" s="1"/>
  <c r="AI38" i="38"/>
  <c r="AL38" i="38" s="1"/>
  <c r="AI21" i="38"/>
  <c r="AL21" i="38" s="1"/>
  <c r="AI34" i="38"/>
  <c r="AL34" i="38" s="1"/>
  <c r="AH27" i="38"/>
  <c r="AK27" i="38" s="1"/>
  <c r="AI24" i="38"/>
  <c r="AL24" i="38" s="1"/>
  <c r="AI35" i="38"/>
  <c r="AL35" i="38" s="1"/>
  <c r="AH21" i="38"/>
  <c r="AK21" i="38" s="1"/>
  <c r="AI27" i="38"/>
  <c r="AL27" i="38" s="1"/>
  <c r="AI22" i="38"/>
  <c r="AL22" i="38" s="1"/>
  <c r="AH30" i="38"/>
  <c r="AK30" i="38" s="1"/>
  <c r="AH25" i="38"/>
  <c r="AK25" i="38" s="1"/>
  <c r="AI29" i="38"/>
  <c r="AL29" i="38" s="1"/>
  <c r="AH34" i="38"/>
  <c r="AK34" i="38" s="1"/>
  <c r="AH31" i="38"/>
  <c r="AK31" i="38" s="1"/>
  <c r="AI26" i="38"/>
  <c r="AL26" i="38" s="1"/>
  <c r="AJ27" i="38"/>
  <c r="AJ28" i="38"/>
  <c r="AJ22" i="38"/>
  <c r="AJ25" i="38"/>
  <c r="AJ29" i="38"/>
  <c r="AJ32" i="38"/>
  <c r="AJ24" i="38"/>
  <c r="AH42" i="38"/>
  <c r="AK42" i="38" s="1"/>
  <c r="AJ21" i="38"/>
  <c r="AJ34" i="38"/>
  <c r="AJ36" i="38"/>
  <c r="AJ37" i="38"/>
  <c r="AH20" i="38"/>
  <c r="AK20" i="38" s="1"/>
  <c r="AI20" i="38"/>
  <c r="AL20" i="38" s="1"/>
  <c r="AJ39" i="38"/>
  <c r="AJ26" i="38"/>
  <c r="AJ23" i="38"/>
  <c r="AJ33" i="38"/>
  <c r="AJ35" i="38"/>
  <c r="AJ38" i="38"/>
  <c r="AH41" i="38"/>
  <c r="AK41" i="38" s="1"/>
  <c r="AJ31" i="38"/>
  <c r="AJ30" i="38"/>
  <c r="AJ41" i="38"/>
  <c r="AJ42" i="38"/>
  <c r="AJ20" i="38"/>
  <c r="AI45" i="38"/>
  <c r="AL45" i="38" s="1"/>
  <c r="AI44" i="38"/>
  <c r="AL44" i="38" s="1"/>
  <c r="AH45" i="38"/>
  <c r="AK45" i="38" s="1"/>
  <c r="AH44" i="38"/>
  <c r="AK44" i="38" s="1"/>
  <c r="AI43" i="38"/>
  <c r="AL43" i="38" s="1"/>
  <c r="AH43" i="38"/>
  <c r="AK43" i="38" s="1"/>
  <c r="AH46" i="38"/>
  <c r="AK46" i="38" s="1"/>
  <c r="AJ44" i="38"/>
  <c r="AJ45" i="38"/>
  <c r="AJ43" i="38"/>
  <c r="AJ46" i="38"/>
  <c r="AI46" i="38"/>
  <c r="AL46" i="38" s="1"/>
  <c r="AH48" i="38"/>
  <c r="AK48" i="38" s="1"/>
  <c r="AI48" i="38"/>
  <c r="AL48" i="38" s="1"/>
  <c r="AI47" i="38"/>
  <c r="AL47" i="38" s="1"/>
  <c r="AH47" i="38"/>
  <c r="AK47" i="38" s="1"/>
  <c r="AJ48" i="38"/>
  <c r="AH49" i="38"/>
  <c r="AK49" i="38" s="1"/>
  <c r="AI49" i="38"/>
  <c r="AL49" i="38" s="1"/>
  <c r="AO183" i="31"/>
  <c r="AM41" i="38" l="1"/>
  <c r="AM31" i="38"/>
  <c r="AE33" i="39"/>
  <c r="X33" i="39"/>
  <c r="AA34" i="42"/>
  <c r="AC34" i="42" s="1"/>
  <c r="AD34" i="42" s="1"/>
  <c r="AF34" i="42" s="1"/>
  <c r="AR32" i="39"/>
  <c r="W35" i="42"/>
  <c r="X35" i="42" s="1"/>
  <c r="Z35" i="42"/>
  <c r="Y36" i="42" s="1"/>
  <c r="AA35" i="42"/>
  <c r="AE33" i="42"/>
  <c r="AB35" i="41"/>
  <c r="AC35" i="41" s="1"/>
  <c r="AE35" i="41" s="1"/>
  <c r="AM37" i="38"/>
  <c r="AM45" i="38"/>
  <c r="AM44" i="38"/>
  <c r="AM46" i="38"/>
  <c r="AD34" i="41"/>
  <c r="Y37" i="41"/>
  <c r="X38" i="41" s="1"/>
  <c r="Z36" i="41"/>
  <c r="AR33" i="39"/>
  <c r="AM23" i="38"/>
  <c r="AM20" i="38"/>
  <c r="AN20" i="38" s="1"/>
  <c r="AM25" i="38"/>
  <c r="AM36" i="38"/>
  <c r="AM30" i="38"/>
  <c r="AP33" i="40"/>
  <c r="AO33" i="40"/>
  <c r="CI33" i="40"/>
  <c r="CK33" i="40" s="1"/>
  <c r="Y36" i="40"/>
  <c r="X37" i="40" s="1"/>
  <c r="AA34" i="40"/>
  <c r="AB34" i="40"/>
  <c r="CH34" i="40" s="1"/>
  <c r="CJ34" i="40" s="1"/>
  <c r="AC34" i="40"/>
  <c r="AA35" i="40"/>
  <c r="AB35" i="40"/>
  <c r="CH35" i="40" s="1"/>
  <c r="CJ35" i="40" s="1"/>
  <c r="AC35" i="40"/>
  <c r="AJ33" i="40"/>
  <c r="AH33" i="40"/>
  <c r="AG33" i="40"/>
  <c r="AN33" i="40"/>
  <c r="AF33" i="40"/>
  <c r="AL33" i="40"/>
  <c r="AD33" i="40"/>
  <c r="AM33" i="40"/>
  <c r="AK33" i="40"/>
  <c r="AI33" i="40"/>
  <c r="AE33" i="40"/>
  <c r="CL32" i="40"/>
  <c r="AN32" i="39"/>
  <c r="AF32" i="39"/>
  <c r="AQ32" i="39"/>
  <c r="AM32" i="39"/>
  <c r="AL32" i="39"/>
  <c r="AP32" i="39"/>
  <c r="AJ32" i="39"/>
  <c r="AH32" i="39"/>
  <c r="AO32" i="39"/>
  <c r="CK32" i="39"/>
  <c r="CM32" i="39" s="1"/>
  <c r="CN32" i="39" s="1"/>
  <c r="AG32" i="39"/>
  <c r="AI32" i="39"/>
  <c r="AF33" i="39"/>
  <c r="AM33" i="39"/>
  <c r="AN33" i="39"/>
  <c r="AQ33" i="39"/>
  <c r="AI33" i="39"/>
  <c r="AJ33" i="39"/>
  <c r="AO33" i="39"/>
  <c r="AP33" i="39"/>
  <c r="AG33" i="39"/>
  <c r="AL33" i="39"/>
  <c r="AH33" i="39"/>
  <c r="AK33" i="39"/>
  <c r="CJ33" i="39"/>
  <c r="CL33" i="39" s="1"/>
  <c r="AA35" i="39"/>
  <c r="Z36" i="39" s="1"/>
  <c r="AB34" i="39"/>
  <c r="CK33" i="39"/>
  <c r="CM33" i="39" s="1"/>
  <c r="CN31" i="39"/>
  <c r="AM26" i="38"/>
  <c r="AM27" i="38"/>
  <c r="AM22" i="38"/>
  <c r="AM28" i="38"/>
  <c r="AM33" i="38"/>
  <c r="AM39" i="38"/>
  <c r="AM47" i="38"/>
  <c r="AJ51" i="38"/>
  <c r="AM49" i="38"/>
  <c r="AM38" i="38"/>
  <c r="AM48" i="38"/>
  <c r="AM43" i="38"/>
  <c r="AM42" i="38"/>
  <c r="AM21" i="38"/>
  <c r="AM35" i="38"/>
  <c r="AM34" i="38"/>
  <c r="AM24" i="38"/>
  <c r="AM29" i="38"/>
  <c r="AM32" i="38"/>
  <c r="AO184" i="31"/>
  <c r="AE34" i="39" l="1"/>
  <c r="X34" i="39"/>
  <c r="AB34" i="42"/>
  <c r="AE34" i="42" s="1"/>
  <c r="AC35" i="42"/>
  <c r="AD35" i="42" s="1"/>
  <c r="AF35" i="42" s="1"/>
  <c r="AB35" i="42"/>
  <c r="AE35" i="42" s="1"/>
  <c r="W36" i="42"/>
  <c r="X36" i="42" s="1"/>
  <c r="Z36" i="42"/>
  <c r="Y37" i="42" s="1"/>
  <c r="AD35" i="41"/>
  <c r="Y38" i="41"/>
  <c r="X39" i="41" s="1"/>
  <c r="Z37" i="41"/>
  <c r="AB36" i="41"/>
  <c r="AC36" i="41" s="1"/>
  <c r="AE36" i="41" s="1"/>
  <c r="AA36" i="41"/>
  <c r="AP35" i="40"/>
  <c r="AO35" i="40"/>
  <c r="CI35" i="40"/>
  <c r="CK35" i="40" s="1"/>
  <c r="CL35" i="40" s="1"/>
  <c r="AL34" i="40"/>
  <c r="AD34" i="40"/>
  <c r="AJ34" i="40"/>
  <c r="AI34" i="40"/>
  <c r="AH34" i="40"/>
  <c r="AN34" i="40"/>
  <c r="AF34" i="40"/>
  <c r="AG34" i="40"/>
  <c r="AE34" i="40"/>
  <c r="AM34" i="40"/>
  <c r="AK34" i="40"/>
  <c r="CL33" i="40"/>
  <c r="AP34" i="40"/>
  <c r="AO34" i="40"/>
  <c r="CI34" i="40"/>
  <c r="CK34" i="40" s="1"/>
  <c r="CL34" i="40" s="1"/>
  <c r="Y37" i="40"/>
  <c r="X38" i="40" s="1"/>
  <c r="Z36" i="40"/>
  <c r="AN35" i="40"/>
  <c r="AF35" i="40"/>
  <c r="AL35" i="40"/>
  <c r="AD35" i="40"/>
  <c r="AK35" i="40"/>
  <c r="AJ35" i="40"/>
  <c r="AH35" i="40"/>
  <c r="AM35" i="40"/>
  <c r="AI35" i="40"/>
  <c r="AG35" i="40"/>
  <c r="AE35" i="40"/>
  <c r="CN33" i="39"/>
  <c r="AA36" i="39"/>
  <c r="Z37" i="39" s="1"/>
  <c r="AC34" i="39"/>
  <c r="AD34" i="39"/>
  <c r="AB35" i="39"/>
  <c r="AN44" i="38"/>
  <c r="AN30" i="38"/>
  <c r="AN25" i="38"/>
  <c r="AN38" i="38"/>
  <c r="AN21" i="38"/>
  <c r="AN41" i="38"/>
  <c r="AN34" i="38"/>
  <c r="AN39" i="38"/>
  <c r="AN46" i="38"/>
  <c r="AN23" i="38"/>
  <c r="AN32" i="38"/>
  <c r="AN22" i="38"/>
  <c r="AN43" i="38"/>
  <c r="AN24" i="38"/>
  <c r="AN40" i="38"/>
  <c r="AN28" i="38"/>
  <c r="AN49" i="38"/>
  <c r="AN47" i="38"/>
  <c r="AN37" i="38"/>
  <c r="AN33" i="38"/>
  <c r="AN35" i="38"/>
  <c r="AN31" i="38"/>
  <c r="AN42" i="38"/>
  <c r="AN36" i="38"/>
  <c r="AN26" i="38"/>
  <c r="AN29" i="38"/>
  <c r="AN48" i="38"/>
  <c r="AN27" i="38"/>
  <c r="AN45" i="38"/>
  <c r="AM51" i="38"/>
  <c r="AO185" i="31"/>
  <c r="AE35" i="39" l="1"/>
  <c r="X35" i="39"/>
  <c r="AA36" i="42"/>
  <c r="AB36" i="42" s="1"/>
  <c r="W37" i="42"/>
  <c r="X37" i="42" s="1"/>
  <c r="Z37" i="42"/>
  <c r="Y38" i="42" s="1"/>
  <c r="AA37" i="42"/>
  <c r="AA37" i="41"/>
  <c r="AB37" i="41"/>
  <c r="AC37" i="41" s="1"/>
  <c r="AE37" i="41" s="1"/>
  <c r="Y39" i="41"/>
  <c r="X40" i="41" s="1"/>
  <c r="AD36" i="41"/>
  <c r="Z38" i="41"/>
  <c r="AA36" i="40"/>
  <c r="AB36" i="40"/>
  <c r="CH36" i="40" s="1"/>
  <c r="CJ36" i="40" s="1"/>
  <c r="AC36" i="40"/>
  <c r="Y38" i="40"/>
  <c r="X39" i="40" s="1"/>
  <c r="Z37" i="40"/>
  <c r="AR34" i="39"/>
  <c r="AK34" i="39"/>
  <c r="AF34" i="39"/>
  <c r="AL34" i="39"/>
  <c r="AG34" i="39"/>
  <c r="AO34" i="39"/>
  <c r="AQ34" i="39"/>
  <c r="AH34" i="39"/>
  <c r="AP34" i="39"/>
  <c r="AI34" i="39"/>
  <c r="AJ34" i="39"/>
  <c r="AM34" i="39"/>
  <c r="AN34" i="39"/>
  <c r="CJ34" i="39"/>
  <c r="CL34" i="39" s="1"/>
  <c r="AD35" i="39"/>
  <c r="AC35" i="39"/>
  <c r="AA37" i="39"/>
  <c r="Z38" i="39" s="1"/>
  <c r="CK34" i="39"/>
  <c r="CM34" i="39" s="1"/>
  <c r="AB36" i="39"/>
  <c r="AO186" i="31"/>
  <c r="AE36" i="39" l="1"/>
  <c r="X36" i="39"/>
  <c r="AC36" i="42"/>
  <c r="AD36" i="42" s="1"/>
  <c r="AF36" i="42" s="1"/>
  <c r="AB37" i="39"/>
  <c r="W38" i="42"/>
  <c r="X38" i="42" s="1"/>
  <c r="Z38" i="42"/>
  <c r="Y39" i="42" s="1"/>
  <c r="AA38" i="42"/>
  <c r="AB37" i="42"/>
  <c r="AC37" i="42"/>
  <c r="AD37" i="42" s="1"/>
  <c r="AF37" i="42" s="1"/>
  <c r="AE36" i="42"/>
  <c r="Y40" i="41"/>
  <c r="X41" i="41" s="1"/>
  <c r="Z40" i="41"/>
  <c r="AD37" i="41"/>
  <c r="Z39" i="41"/>
  <c r="AB38" i="41"/>
  <c r="AC38" i="41" s="1"/>
  <c r="AE38" i="41" s="1"/>
  <c r="AA38" i="41"/>
  <c r="AP36" i="40"/>
  <c r="CI36" i="40"/>
  <c r="CK36" i="40" s="1"/>
  <c r="AO36" i="40"/>
  <c r="Y39" i="40"/>
  <c r="X40" i="40" s="1"/>
  <c r="Z38" i="40"/>
  <c r="AH36" i="40"/>
  <c r="AN36" i="40"/>
  <c r="AF36" i="40"/>
  <c r="AM36" i="40"/>
  <c r="AE36" i="40"/>
  <c r="AL36" i="40"/>
  <c r="AD36" i="40"/>
  <c r="AJ36" i="40"/>
  <c r="AK36" i="40"/>
  <c r="AI36" i="40"/>
  <c r="AG36" i="40"/>
  <c r="AC37" i="40"/>
  <c r="AB37" i="40"/>
  <c r="CH37" i="40" s="1"/>
  <c r="CJ37" i="40" s="1"/>
  <c r="AA37" i="40"/>
  <c r="CL36" i="40"/>
  <c r="AR35" i="39"/>
  <c r="CN34" i="39"/>
  <c r="AQ35" i="39"/>
  <c r="AI35" i="39"/>
  <c r="AJ35" i="39"/>
  <c r="AF35" i="39"/>
  <c r="AM35" i="39"/>
  <c r="AN35" i="39"/>
  <c r="AK35" i="39"/>
  <c r="AO35" i="39"/>
  <c r="AL35" i="39"/>
  <c r="AG35" i="39"/>
  <c r="AH35" i="39"/>
  <c r="AP35" i="39"/>
  <c r="CJ35" i="39"/>
  <c r="CL35" i="39" s="1"/>
  <c r="AA38" i="39"/>
  <c r="Z39" i="39" s="1"/>
  <c r="AD36" i="39"/>
  <c r="AC36" i="39"/>
  <c r="CK35" i="39"/>
  <c r="CM35" i="39" s="1"/>
  <c r="AD37" i="39"/>
  <c r="X131" i="31"/>
  <c r="X134" i="31"/>
  <c r="X138" i="31"/>
  <c r="X142" i="31"/>
  <c r="X146" i="31"/>
  <c r="X150" i="31"/>
  <c r="AC151" i="31"/>
  <c r="AB151" i="31"/>
  <c r="AA151" i="31"/>
  <c r="Z151" i="31"/>
  <c r="Y151" i="31"/>
  <c r="AC150" i="31"/>
  <c r="AB150" i="31"/>
  <c r="AA150" i="31"/>
  <c r="Z150" i="31"/>
  <c r="Y150" i="31"/>
  <c r="AC149" i="31"/>
  <c r="AB149" i="31"/>
  <c r="AA149" i="31"/>
  <c r="Z149" i="31"/>
  <c r="Y149" i="31"/>
  <c r="AC148" i="31"/>
  <c r="AB148" i="31"/>
  <c r="AA148" i="31"/>
  <c r="Z148" i="31"/>
  <c r="Y148" i="31"/>
  <c r="AC147" i="31"/>
  <c r="AB147" i="31"/>
  <c r="AA147" i="31"/>
  <c r="Z147" i="31"/>
  <c r="Y147" i="31"/>
  <c r="AC146" i="31"/>
  <c r="AB146" i="31"/>
  <c r="AA146" i="31"/>
  <c r="Z146" i="31"/>
  <c r="Y146" i="31"/>
  <c r="AC145" i="31"/>
  <c r="AB145" i="31"/>
  <c r="AA145" i="31"/>
  <c r="Z145" i="31"/>
  <c r="Y145" i="31"/>
  <c r="AC144" i="31"/>
  <c r="AB144" i="31"/>
  <c r="AA144" i="31"/>
  <c r="Z144" i="31"/>
  <c r="Y144" i="31"/>
  <c r="AC143" i="31"/>
  <c r="AB143" i="31"/>
  <c r="AA143" i="31"/>
  <c r="Z143" i="31"/>
  <c r="Y143" i="31"/>
  <c r="AC142" i="31"/>
  <c r="AB142" i="31"/>
  <c r="AA142" i="31"/>
  <c r="Z142" i="31"/>
  <c r="Y142" i="31"/>
  <c r="AC141" i="31"/>
  <c r="AB141" i="31"/>
  <c r="AA141" i="31"/>
  <c r="Z141" i="31"/>
  <c r="Y141" i="31"/>
  <c r="AC140" i="31"/>
  <c r="AB140" i="31"/>
  <c r="AA140" i="31"/>
  <c r="Z140" i="31"/>
  <c r="Y140" i="31"/>
  <c r="AC139" i="31"/>
  <c r="AB139" i="31"/>
  <c r="AA139" i="31"/>
  <c r="Z139" i="31"/>
  <c r="Y139" i="31"/>
  <c r="AC138" i="31"/>
  <c r="AB138" i="31"/>
  <c r="AA138" i="31"/>
  <c r="Z138" i="31"/>
  <c r="Y138" i="31"/>
  <c r="AC137" i="31"/>
  <c r="AB137" i="31"/>
  <c r="AA137" i="31"/>
  <c r="Z137" i="31"/>
  <c r="Y137" i="31"/>
  <c r="AC136" i="31"/>
  <c r="AB136" i="31"/>
  <c r="AA136" i="31"/>
  <c r="Z136" i="31"/>
  <c r="Y136" i="31"/>
  <c r="AC135" i="31"/>
  <c r="AB135" i="31"/>
  <c r="AA135" i="31"/>
  <c r="Z135" i="31"/>
  <c r="Y135" i="31"/>
  <c r="AC134" i="31"/>
  <c r="AB134" i="31"/>
  <c r="AA134" i="31"/>
  <c r="Z134" i="31"/>
  <c r="Y134" i="31"/>
  <c r="AC133" i="31"/>
  <c r="AB133" i="31"/>
  <c r="AA133" i="31"/>
  <c r="Z133" i="31"/>
  <c r="Y133" i="31"/>
  <c r="AC132" i="31"/>
  <c r="AB132" i="31"/>
  <c r="AA132" i="31"/>
  <c r="Z132" i="31"/>
  <c r="Y132" i="31"/>
  <c r="AC131" i="31"/>
  <c r="AB131" i="31"/>
  <c r="AA131" i="31"/>
  <c r="Z131" i="31"/>
  <c r="Y131" i="31"/>
  <c r="AC130" i="31"/>
  <c r="AB130" i="31"/>
  <c r="AA130" i="31"/>
  <c r="Z130" i="31"/>
  <c r="Y130" i="31"/>
  <c r="AC99" i="31"/>
  <c r="AB99" i="31"/>
  <c r="AA99" i="31"/>
  <c r="Z99" i="31"/>
  <c r="Y99" i="31"/>
  <c r="X99" i="31"/>
  <c r="AC98" i="31"/>
  <c r="AB98" i="31"/>
  <c r="AA98" i="31"/>
  <c r="Z98" i="31"/>
  <c r="Y98" i="31"/>
  <c r="X98" i="31"/>
  <c r="AC97" i="31"/>
  <c r="AB97" i="31"/>
  <c r="AA97" i="31"/>
  <c r="Z97" i="31"/>
  <c r="Y97" i="31"/>
  <c r="X97" i="31"/>
  <c r="AC96" i="31"/>
  <c r="AB96" i="31"/>
  <c r="AA96" i="31"/>
  <c r="Z96" i="31"/>
  <c r="Y96" i="31"/>
  <c r="X96" i="31"/>
  <c r="AC95" i="31"/>
  <c r="AB95" i="31"/>
  <c r="AA95" i="31"/>
  <c r="Z95" i="31"/>
  <c r="Y95" i="31"/>
  <c r="X95" i="31"/>
  <c r="AC94" i="31"/>
  <c r="AB94" i="31"/>
  <c r="AA94" i="31"/>
  <c r="Z94" i="31"/>
  <c r="Y94" i="31"/>
  <c r="X94" i="31"/>
  <c r="AC93" i="31"/>
  <c r="AB93" i="31"/>
  <c r="AA93" i="31"/>
  <c r="Z93" i="31"/>
  <c r="Y93" i="31"/>
  <c r="X93" i="31"/>
  <c r="AC92" i="31"/>
  <c r="AB92" i="31"/>
  <c r="AA92" i="31"/>
  <c r="Z92" i="31"/>
  <c r="Y92" i="31"/>
  <c r="X92" i="31"/>
  <c r="AC91" i="31"/>
  <c r="AB91" i="31"/>
  <c r="AA91" i="31"/>
  <c r="Z91" i="31"/>
  <c r="Y91" i="31"/>
  <c r="X91" i="31"/>
  <c r="AC90" i="31"/>
  <c r="AB90" i="31"/>
  <c r="AA90" i="31"/>
  <c r="Z90" i="31"/>
  <c r="Y90" i="31"/>
  <c r="X90" i="31"/>
  <c r="AC89" i="31"/>
  <c r="AB89" i="31"/>
  <c r="AA89" i="31"/>
  <c r="Z89" i="31"/>
  <c r="Y89" i="31"/>
  <c r="X89" i="31"/>
  <c r="AC88" i="31"/>
  <c r="AB88" i="31"/>
  <c r="AA88" i="31"/>
  <c r="Z88" i="31"/>
  <c r="Y88" i="31"/>
  <c r="X88" i="31"/>
  <c r="AC87" i="31"/>
  <c r="AB87" i="31"/>
  <c r="AA87" i="31"/>
  <c r="Z87" i="31"/>
  <c r="Y87" i="31"/>
  <c r="X87" i="31"/>
  <c r="AC86" i="31"/>
  <c r="AB86" i="31"/>
  <c r="AA86" i="31"/>
  <c r="Z86" i="31"/>
  <c r="Y86" i="31"/>
  <c r="X86" i="31"/>
  <c r="AC85" i="31"/>
  <c r="AB85" i="31"/>
  <c r="AA85" i="31"/>
  <c r="Z85" i="31"/>
  <c r="Y85" i="31"/>
  <c r="X85" i="31"/>
  <c r="AC84" i="31"/>
  <c r="AB84" i="31"/>
  <c r="AA84" i="31"/>
  <c r="Z84" i="31"/>
  <c r="Y84" i="31"/>
  <c r="X84" i="31"/>
  <c r="AC83" i="31"/>
  <c r="AB83" i="31"/>
  <c r="AA83" i="31"/>
  <c r="Z83" i="31"/>
  <c r="Y83" i="31"/>
  <c r="X83" i="31"/>
  <c r="AC82" i="31"/>
  <c r="AB82" i="31"/>
  <c r="AA82" i="31"/>
  <c r="Z82" i="31"/>
  <c r="Y82" i="31"/>
  <c r="X82" i="31"/>
  <c r="AC81" i="31"/>
  <c r="AB81" i="31"/>
  <c r="AA81" i="31"/>
  <c r="Z81" i="31"/>
  <c r="Y81" i="31"/>
  <c r="X81" i="31"/>
  <c r="AC80" i="31"/>
  <c r="AB80" i="31"/>
  <c r="AA80" i="31"/>
  <c r="Z80" i="31"/>
  <c r="Y80" i="31"/>
  <c r="X80" i="31"/>
  <c r="AC79" i="31"/>
  <c r="AB79" i="31"/>
  <c r="AA79" i="31"/>
  <c r="Z79" i="31"/>
  <c r="Y79" i="31"/>
  <c r="X79" i="31"/>
  <c r="AC78" i="31"/>
  <c r="AB78" i="31"/>
  <c r="AA78" i="31"/>
  <c r="Z78" i="31"/>
  <c r="Y78" i="31"/>
  <c r="X78" i="31"/>
  <c r="AE37" i="39" l="1"/>
  <c r="AG37" i="39" s="1"/>
  <c r="X37" i="39"/>
  <c r="AC37" i="39"/>
  <c r="AE37" i="42"/>
  <c r="AB38" i="42"/>
  <c r="AC38" i="42"/>
  <c r="AD38" i="42" s="1"/>
  <c r="AF38" i="42" s="1"/>
  <c r="W39" i="42"/>
  <c r="X39" i="42" s="1"/>
  <c r="Z39" i="42"/>
  <c r="Y40" i="42" s="1"/>
  <c r="AA39" i="42"/>
  <c r="AD38" i="41"/>
  <c r="AA39" i="41"/>
  <c r="AB39" i="41"/>
  <c r="AC39" i="41" s="1"/>
  <c r="AE39" i="41" s="1"/>
  <c r="AB40" i="41"/>
  <c r="AC40" i="41" s="1"/>
  <c r="AE40" i="41" s="1"/>
  <c r="AA40" i="41"/>
  <c r="Y41" i="41"/>
  <c r="X42" i="41" s="1"/>
  <c r="AC38" i="40"/>
  <c r="AA38" i="40"/>
  <c r="AB38" i="40"/>
  <c r="CH38" i="40" s="1"/>
  <c r="CJ38" i="40" s="1"/>
  <c r="Y40" i="40"/>
  <c r="X41" i="40" s="1"/>
  <c r="Z39" i="40"/>
  <c r="AP37" i="40"/>
  <c r="AO37" i="40"/>
  <c r="CI37" i="40"/>
  <c r="CK37" i="40" s="1"/>
  <c r="CL37" i="40" s="1"/>
  <c r="AJ37" i="40"/>
  <c r="AH37" i="40"/>
  <c r="AG37" i="40"/>
  <c r="AN37" i="40"/>
  <c r="AF37" i="40"/>
  <c r="AL37" i="40"/>
  <c r="AD37" i="40"/>
  <c r="AK37" i="40"/>
  <c r="AI37" i="40"/>
  <c r="AE37" i="40"/>
  <c r="AM37" i="40"/>
  <c r="AR37" i="39"/>
  <c r="AR36" i="39"/>
  <c r="AQ37" i="39"/>
  <c r="AF37" i="39"/>
  <c r="AJ37" i="39"/>
  <c r="AO37" i="39"/>
  <c r="AP37" i="39"/>
  <c r="AG36" i="39"/>
  <c r="AO36" i="39"/>
  <c r="AH36" i="39"/>
  <c r="AP36" i="39"/>
  <c r="AK36" i="39"/>
  <c r="AL36" i="39"/>
  <c r="AQ36" i="39"/>
  <c r="AF36" i="39"/>
  <c r="AJ36" i="39"/>
  <c r="AI36" i="39"/>
  <c r="AM36" i="39"/>
  <c r="AN36" i="39"/>
  <c r="CJ37" i="39"/>
  <c r="CL37" i="39" s="1"/>
  <c r="CJ36" i="39"/>
  <c r="CL36" i="39" s="1"/>
  <c r="CK37" i="39"/>
  <c r="CM37" i="39" s="1"/>
  <c r="CN35" i="39"/>
  <c r="CK36" i="39"/>
  <c r="CM36" i="39" s="1"/>
  <c r="AA39" i="39"/>
  <c r="Z40" i="39" s="1"/>
  <c r="AB38" i="39"/>
  <c r="X149" i="31"/>
  <c r="X145" i="31"/>
  <c r="X141" i="31"/>
  <c r="X137" i="31"/>
  <c r="X133" i="31"/>
  <c r="X130" i="31"/>
  <c r="X148" i="31"/>
  <c r="X144" i="31"/>
  <c r="X140" i="31"/>
  <c r="X136" i="31"/>
  <c r="X132" i="31"/>
  <c r="X151" i="31"/>
  <c r="X147" i="31"/>
  <c r="X143" i="31"/>
  <c r="X139" i="31"/>
  <c r="X135" i="31"/>
  <c r="C22" i="31"/>
  <c r="C23" i="31" s="1"/>
  <c r="Z41" i="41" l="1"/>
  <c r="AI37" i="39"/>
  <c r="AK37" i="39"/>
  <c r="AN37" i="39"/>
  <c r="AM37" i="39"/>
  <c r="AE38" i="39"/>
  <c r="X38" i="39"/>
  <c r="AL37" i="39"/>
  <c r="AH37" i="39"/>
  <c r="AC39" i="42"/>
  <c r="AD39" i="42" s="1"/>
  <c r="AF39" i="42" s="1"/>
  <c r="AB39" i="42"/>
  <c r="W40" i="42"/>
  <c r="X40" i="42" s="1"/>
  <c r="Z40" i="42"/>
  <c r="Y41" i="42" s="1"/>
  <c r="AA40" i="42"/>
  <c r="AE38" i="42"/>
  <c r="AD39" i="41"/>
  <c r="Y42" i="41"/>
  <c r="X43" i="41" s="1"/>
  <c r="AA41" i="41"/>
  <c r="AB41" i="41"/>
  <c r="AC41" i="41" s="1"/>
  <c r="AE41" i="41" s="1"/>
  <c r="AD40" i="41"/>
  <c r="AA39" i="40"/>
  <c r="AC39" i="40"/>
  <c r="AB39" i="40"/>
  <c r="CH39" i="40" s="1"/>
  <c r="CJ39" i="40" s="1"/>
  <c r="Y41" i="40"/>
  <c r="X42" i="40" s="1"/>
  <c r="Z40" i="40"/>
  <c r="AP38" i="40"/>
  <c r="AO38" i="40"/>
  <c r="CI38" i="40"/>
  <c r="CK38" i="40" s="1"/>
  <c r="CL38" i="40" s="1"/>
  <c r="AL38" i="40"/>
  <c r="AD38" i="40"/>
  <c r="AJ38" i="40"/>
  <c r="AI38" i="40"/>
  <c r="AH38" i="40"/>
  <c r="AN38" i="40"/>
  <c r="AF38" i="40"/>
  <c r="AE38" i="40"/>
  <c r="AM38" i="40"/>
  <c r="AK38" i="40"/>
  <c r="AG38" i="40"/>
  <c r="CN37" i="39"/>
  <c r="AC38" i="39"/>
  <c r="AD38" i="39"/>
  <c r="CN36" i="39"/>
  <c r="AA40" i="39"/>
  <c r="Z41" i="39" s="1"/>
  <c r="AB39" i="39"/>
  <c r="C35" i="31"/>
  <c r="AC19" i="31"/>
  <c r="AB19" i="31"/>
  <c r="AA19" i="31"/>
  <c r="C36" i="31" s="1"/>
  <c r="AT202" i="31" s="1"/>
  <c r="C19" i="31"/>
  <c r="B221" i="31"/>
  <c r="F220" i="31"/>
  <c r="B168" i="31"/>
  <c r="F167" i="31"/>
  <c r="L166" i="31"/>
  <c r="F166" i="31"/>
  <c r="J165" i="31"/>
  <c r="F165" i="31"/>
  <c r="J164" i="31"/>
  <c r="F164" i="31"/>
  <c r="B116" i="31"/>
  <c r="F115" i="31"/>
  <c r="L114" i="31"/>
  <c r="F114" i="31"/>
  <c r="J113" i="31"/>
  <c r="F113" i="31"/>
  <c r="J112" i="31"/>
  <c r="F112" i="31"/>
  <c r="B64" i="31"/>
  <c r="F63" i="31"/>
  <c r="L62" i="31"/>
  <c r="F62" i="31"/>
  <c r="J61" i="31"/>
  <c r="F61" i="31"/>
  <c r="J60" i="31"/>
  <c r="F60" i="31"/>
  <c r="AE39" i="39" l="1"/>
  <c r="X39" i="39"/>
  <c r="AE39" i="42"/>
  <c r="AC40" i="42"/>
  <c r="AD40" i="42" s="1"/>
  <c r="AF40" i="42" s="1"/>
  <c r="AB40" i="42"/>
  <c r="AE40" i="42" s="1"/>
  <c r="W41" i="42"/>
  <c r="X41" i="42" s="1"/>
  <c r="Z41" i="42"/>
  <c r="Y42" i="42" s="1"/>
  <c r="AA41" i="42"/>
  <c r="AD41" i="41"/>
  <c r="Y43" i="41"/>
  <c r="X44" i="41" s="1"/>
  <c r="Z42" i="41"/>
  <c r="Y42" i="40"/>
  <c r="X43" i="40" s="1"/>
  <c r="Z41" i="40"/>
  <c r="AB40" i="40"/>
  <c r="CH40" i="40" s="1"/>
  <c r="CJ40" i="40" s="1"/>
  <c r="AC40" i="40"/>
  <c r="AA40" i="40"/>
  <c r="AN39" i="40"/>
  <c r="AF39" i="40"/>
  <c r="AL39" i="40"/>
  <c r="AD39" i="40"/>
  <c r="AK39" i="40"/>
  <c r="AJ39" i="40"/>
  <c r="AH39" i="40"/>
  <c r="AM39" i="40"/>
  <c r="AI39" i="40"/>
  <c r="AG39" i="40"/>
  <c r="AE39" i="40"/>
  <c r="AP39" i="40"/>
  <c r="AO39" i="40"/>
  <c r="CI39" i="40"/>
  <c r="CK39" i="40" s="1"/>
  <c r="AR38" i="39"/>
  <c r="AB40" i="39"/>
  <c r="AK38" i="39"/>
  <c r="AQ38" i="39"/>
  <c r="AL38" i="39"/>
  <c r="AG38" i="39"/>
  <c r="AO38" i="39"/>
  <c r="AF38" i="39"/>
  <c r="AH38" i="39"/>
  <c r="AP38" i="39"/>
  <c r="AM38" i="39"/>
  <c r="AN38" i="39"/>
  <c r="AJ38" i="39"/>
  <c r="AI38" i="39"/>
  <c r="CJ38" i="39"/>
  <c r="CL38" i="39" s="1"/>
  <c r="AC39" i="39"/>
  <c r="AD39" i="39"/>
  <c r="AA41" i="39"/>
  <c r="Z42" i="39" s="1"/>
  <c r="CK38" i="39"/>
  <c r="CM38" i="39" s="1"/>
  <c r="C284" i="31"/>
  <c r="C227" i="31"/>
  <c r="C123" i="31"/>
  <c r="C127" i="31"/>
  <c r="AT208" i="31"/>
  <c r="AE202" i="31"/>
  <c r="AT179" i="31"/>
  <c r="AE179" i="31" s="1"/>
  <c r="AT185" i="31"/>
  <c r="AT173" i="31"/>
  <c r="AT196" i="31" s="1"/>
  <c r="AN172" i="31"/>
  <c r="AN195" i="31" s="1"/>
  <c r="AN173" i="31"/>
  <c r="AN196" i="31" s="1"/>
  <c r="AN174" i="31"/>
  <c r="AN197" i="31" s="1"/>
  <c r="AN175" i="31"/>
  <c r="AN198" i="31" s="1"/>
  <c r="AN176" i="31"/>
  <c r="AN199" i="31" s="1"/>
  <c r="AN177" i="31"/>
  <c r="AN200" i="31" s="1"/>
  <c r="AN178" i="31"/>
  <c r="AN201" i="31" s="1"/>
  <c r="AN179" i="31"/>
  <c r="AN202" i="31" s="1"/>
  <c r="AN180" i="31"/>
  <c r="AN203" i="31" s="1"/>
  <c r="AN181" i="31"/>
  <c r="AN204" i="31" s="1"/>
  <c r="AN182" i="31"/>
  <c r="AN205" i="31" s="1"/>
  <c r="AN183" i="31"/>
  <c r="AN206" i="31" s="1"/>
  <c r="AN184" i="31"/>
  <c r="AN207" i="31" s="1"/>
  <c r="AN185" i="31"/>
  <c r="AN208" i="31" s="1"/>
  <c r="AN186" i="31"/>
  <c r="AN209" i="31" s="1"/>
  <c r="C71" i="31"/>
  <c r="AE79" i="31" s="1"/>
  <c r="AF88" i="31" s="1"/>
  <c r="AF89" i="31" s="1"/>
  <c r="C75" i="31"/>
  <c r="C50" i="31"/>
  <c r="C44" i="31"/>
  <c r="C41" i="31"/>
  <c r="C47" i="31"/>
  <c r="B12" i="31"/>
  <c r="C70" i="31"/>
  <c r="C122" i="31"/>
  <c r="C46" i="31"/>
  <c r="C283" i="31"/>
  <c r="C49" i="31"/>
  <c r="C74" i="31"/>
  <c r="C43" i="31"/>
  <c r="C40" i="31"/>
  <c r="C226" i="31"/>
  <c r="C126" i="31"/>
  <c r="C17" i="42" l="1"/>
  <c r="C22" i="42" s="1"/>
  <c r="C17" i="39"/>
  <c r="C22" i="39" s="1"/>
  <c r="C17" i="41"/>
  <c r="C22" i="41" s="1"/>
  <c r="C17" i="40"/>
  <c r="C22" i="40" s="1"/>
  <c r="C17" i="38"/>
  <c r="C22" i="38" s="1"/>
  <c r="J46" i="31"/>
  <c r="F69" i="31" s="1"/>
  <c r="AF76" i="31" s="1"/>
  <c r="AF72" i="31" s="1"/>
  <c r="G17" i="42"/>
  <c r="G22" i="42" s="1"/>
  <c r="G17" i="41"/>
  <c r="G22" i="41" s="1"/>
  <c r="G17" i="39"/>
  <c r="G22" i="39" s="1"/>
  <c r="G17" i="38"/>
  <c r="G22" i="38" s="1"/>
  <c r="G17" i="40"/>
  <c r="G22" i="40" s="1"/>
  <c r="AE40" i="39"/>
  <c r="X40" i="39"/>
  <c r="AC40" i="39"/>
  <c r="AL40" i="39" s="1"/>
  <c r="AD40" i="39"/>
  <c r="AR40" i="39" s="1"/>
  <c r="AB41" i="39"/>
  <c r="AB41" i="42"/>
  <c r="AE41" i="42" s="1"/>
  <c r="AC41" i="42"/>
  <c r="AD41" i="42" s="1"/>
  <c r="AF41" i="42" s="1"/>
  <c r="W42" i="42"/>
  <c r="X42" i="42" s="1"/>
  <c r="Z42" i="42"/>
  <c r="Y43" i="42" s="1"/>
  <c r="AA42" i="42"/>
  <c r="Y44" i="41"/>
  <c r="X45" i="41" s="1"/>
  <c r="AA42" i="41"/>
  <c r="AB42" i="41"/>
  <c r="AC42" i="41" s="1"/>
  <c r="AE42" i="41" s="1"/>
  <c r="Z43" i="41"/>
  <c r="CL39" i="40"/>
  <c r="AA41" i="40"/>
  <c r="AC41" i="40"/>
  <c r="AB41" i="40"/>
  <c r="CH41" i="40" s="1"/>
  <c r="CJ41" i="40" s="1"/>
  <c r="CI40" i="40"/>
  <c r="CK40" i="40" s="1"/>
  <c r="CL40" i="40" s="1"/>
  <c r="AP40" i="40"/>
  <c r="AO40" i="40"/>
  <c r="AH40" i="40"/>
  <c r="AN40" i="40"/>
  <c r="AF40" i="40"/>
  <c r="AM40" i="40"/>
  <c r="AE40" i="40"/>
  <c r="AL40" i="40"/>
  <c r="AD40" i="40"/>
  <c r="AJ40" i="40"/>
  <c r="AK40" i="40"/>
  <c r="AI40" i="40"/>
  <c r="AG40" i="40"/>
  <c r="Y43" i="40"/>
  <c r="X44" i="40" s="1"/>
  <c r="Z42" i="40"/>
  <c r="AR39" i="39"/>
  <c r="AG40" i="39"/>
  <c r="AO40" i="39"/>
  <c r="AH40" i="39"/>
  <c r="AP40" i="39"/>
  <c r="AK40" i="39"/>
  <c r="AF40" i="39"/>
  <c r="AQ40" i="39"/>
  <c r="AI40" i="39"/>
  <c r="AJ40" i="39"/>
  <c r="AN40" i="39"/>
  <c r="AF39" i="39"/>
  <c r="AI39" i="39"/>
  <c r="AJ39" i="39"/>
  <c r="AQ39" i="39"/>
  <c r="AM39" i="39"/>
  <c r="AN39" i="39"/>
  <c r="AG39" i="39"/>
  <c r="AP39" i="39"/>
  <c r="AH39" i="39"/>
  <c r="AK39" i="39"/>
  <c r="AO39" i="39"/>
  <c r="AL39" i="39"/>
  <c r="CJ39" i="39"/>
  <c r="CL39" i="39" s="1"/>
  <c r="CK40" i="39"/>
  <c r="CM40" i="39" s="1"/>
  <c r="AA42" i="39"/>
  <c r="Z43" i="39" s="1"/>
  <c r="CN38" i="39"/>
  <c r="CK39" i="39"/>
  <c r="CM39" i="39" s="1"/>
  <c r="AB284" i="31"/>
  <c r="AB227" i="31"/>
  <c r="AE199" i="31"/>
  <c r="AH200" i="31" s="1"/>
  <c r="AH206" i="31"/>
  <c r="AT199" i="31"/>
  <c r="AE201" i="31" s="1"/>
  <c r="AA203" i="31"/>
  <c r="Y199" i="31"/>
  <c r="AE204" i="31"/>
  <c r="AH203" i="31"/>
  <c r="AH204" i="31" s="1"/>
  <c r="AH207" i="31"/>
  <c r="AL194" i="31"/>
  <c r="AL195" i="31" s="1"/>
  <c r="AL196" i="31" s="1"/>
  <c r="AL197" i="31" s="1"/>
  <c r="AL198" i="31" s="1"/>
  <c r="AL199" i="31" s="1"/>
  <c r="AL200" i="31" s="1"/>
  <c r="AL201" i="31" s="1"/>
  <c r="AL202" i="31" s="1"/>
  <c r="AL203" i="31" s="1"/>
  <c r="AL204" i="31" s="1"/>
  <c r="AL205" i="31" s="1"/>
  <c r="AL206" i="31" s="1"/>
  <c r="AL207" i="31" s="1"/>
  <c r="AL208" i="31" s="1"/>
  <c r="AL209" i="31" s="1"/>
  <c r="AE176" i="31"/>
  <c r="AH177" i="31" s="1"/>
  <c r="AH183" i="31"/>
  <c r="AT176" i="31"/>
  <c r="AE178" i="31" s="1"/>
  <c r="AH180" i="31"/>
  <c r="AH181" i="31" s="1"/>
  <c r="Y176" i="31"/>
  <c r="AL171" i="31"/>
  <c r="AH184" i="31"/>
  <c r="AE181" i="31"/>
  <c r="AA180" i="31"/>
  <c r="AE85" i="31"/>
  <c r="AF92" i="31" s="1"/>
  <c r="AF93" i="31" s="1"/>
  <c r="F121" i="31"/>
  <c r="AF128" i="31" s="1"/>
  <c r="AF124" i="31" s="1"/>
  <c r="AE137" i="31"/>
  <c r="AF144" i="31" s="1"/>
  <c r="AF145" i="31" s="1"/>
  <c r="AE131" i="31"/>
  <c r="AF140" i="31" s="1"/>
  <c r="AF141" i="31" s="1"/>
  <c r="F11" i="31"/>
  <c r="L10" i="31"/>
  <c r="F10" i="31"/>
  <c r="J9" i="31"/>
  <c r="F9" i="31"/>
  <c r="J8" i="31"/>
  <c r="F8" i="31"/>
  <c r="X7" i="31"/>
  <c r="X6" i="31"/>
  <c r="X5" i="31"/>
  <c r="X4" i="31"/>
  <c r="X3" i="31"/>
  <c r="X2" i="31"/>
  <c r="X1" i="31"/>
  <c r="J276" i="31" s="1"/>
  <c r="G21" i="39"/>
  <c r="C21" i="42"/>
  <c r="G21" i="40"/>
  <c r="G21" i="41"/>
  <c r="G21" i="42"/>
  <c r="C21" i="41"/>
  <c r="C21" i="39"/>
  <c r="C21" i="40"/>
  <c r="C21" i="38"/>
  <c r="G21" i="38"/>
  <c r="C25" i="38" l="1"/>
  <c r="C25" i="40"/>
  <c r="C25" i="41"/>
  <c r="C25" i="39"/>
  <c r="C25" i="42"/>
  <c r="AE41" i="39"/>
  <c r="X41" i="39"/>
  <c r="AD41" i="39"/>
  <c r="CJ41" i="39" s="1"/>
  <c r="CL41" i="39" s="1"/>
  <c r="AC41" i="39"/>
  <c r="CJ40" i="39"/>
  <c r="CL40" i="39" s="1"/>
  <c r="CN40" i="39" s="1"/>
  <c r="AM40" i="39"/>
  <c r="AC42" i="42"/>
  <c r="AD42" i="42" s="1"/>
  <c r="AF42" i="42" s="1"/>
  <c r="AB42" i="42"/>
  <c r="AE42" i="42" s="1"/>
  <c r="W43" i="42"/>
  <c r="X43" i="42" s="1"/>
  <c r="Z43" i="42"/>
  <c r="Y44" i="42" s="1"/>
  <c r="AD42" i="41"/>
  <c r="Y45" i="41"/>
  <c r="X46" i="41" s="1"/>
  <c r="AA43" i="41"/>
  <c r="AB43" i="41"/>
  <c r="AC43" i="41" s="1"/>
  <c r="AE43" i="41" s="1"/>
  <c r="Z44" i="41"/>
  <c r="AI41" i="40"/>
  <c r="AH41" i="40"/>
  <c r="AN41" i="40"/>
  <c r="AF41" i="40"/>
  <c r="AM41" i="40"/>
  <c r="AE41" i="40"/>
  <c r="AL41" i="40"/>
  <c r="AD41" i="40"/>
  <c r="AJ41" i="40"/>
  <c r="AK41" i="40"/>
  <c r="AG41" i="40"/>
  <c r="AA42" i="40"/>
  <c r="AB42" i="40"/>
  <c r="CH42" i="40" s="1"/>
  <c r="CJ42" i="40" s="1"/>
  <c r="AC42" i="40"/>
  <c r="AP41" i="40"/>
  <c r="CI41" i="40"/>
  <c r="CK41" i="40" s="1"/>
  <c r="CL41" i="40" s="1"/>
  <c r="AO41" i="40"/>
  <c r="Y44" i="40"/>
  <c r="X45" i="40" s="1"/>
  <c r="Z44" i="40"/>
  <c r="Z43" i="40"/>
  <c r="AF41" i="39"/>
  <c r="AM41" i="39"/>
  <c r="AQ41" i="39"/>
  <c r="AI41" i="39"/>
  <c r="AP41" i="39"/>
  <c r="AG41" i="39"/>
  <c r="AL41" i="39"/>
  <c r="AH41" i="39"/>
  <c r="AA43" i="39"/>
  <c r="Z44" i="39" s="1"/>
  <c r="AB42" i="39"/>
  <c r="CN39" i="39"/>
  <c r="AE284" i="31"/>
  <c r="AD284" i="31"/>
  <c r="AC284" i="31"/>
  <c r="AB288" i="31"/>
  <c r="J219" i="31"/>
  <c r="AD227" i="31"/>
  <c r="AC227" i="31"/>
  <c r="AB231" i="31"/>
  <c r="X199" i="31"/>
  <c r="AH201" i="31"/>
  <c r="Z203" i="31" s="1"/>
  <c r="AK171" i="31"/>
  <c r="AK194" i="31" s="1"/>
  <c r="AL172" i="31"/>
  <c r="AH178" i="31"/>
  <c r="Z180" i="31" s="1"/>
  <c r="X176" i="31"/>
  <c r="AF125" i="31"/>
  <c r="AF126" i="31"/>
  <c r="AF123" i="31"/>
  <c r="AG124" i="31"/>
  <c r="AF71" i="31"/>
  <c r="AF73" i="31"/>
  <c r="AF74" i="31"/>
  <c r="AG72" i="31"/>
  <c r="AG71" i="31" s="1"/>
  <c r="J114" i="31"/>
  <c r="J166" i="31"/>
  <c r="J10" i="31"/>
  <c r="J62" i="31"/>
  <c r="Z45" i="41" l="1"/>
  <c r="AE42" i="39"/>
  <c r="X42" i="39"/>
  <c r="AR41" i="39"/>
  <c r="AA43" i="42"/>
  <c r="AC43" i="42" s="1"/>
  <c r="AD43" i="42" s="1"/>
  <c r="AF43" i="42" s="1"/>
  <c r="AN41" i="39"/>
  <c r="AO41" i="39"/>
  <c r="AK41" i="39"/>
  <c r="AJ41" i="39"/>
  <c r="CK41" i="39"/>
  <c r="CM41" i="39" s="1"/>
  <c r="CN41" i="39" s="1"/>
  <c r="W44" i="42"/>
  <c r="X44" i="42" s="1"/>
  <c r="Z44" i="42"/>
  <c r="Y45" i="42" s="1"/>
  <c r="AD43" i="41"/>
  <c r="Y46" i="41"/>
  <c r="X47" i="41" s="1"/>
  <c r="AA45" i="41"/>
  <c r="AB45" i="41"/>
  <c r="AC45" i="41" s="1"/>
  <c r="AE45" i="41" s="1"/>
  <c r="AA44" i="41"/>
  <c r="AB44" i="41"/>
  <c r="AC44" i="41" s="1"/>
  <c r="AE44" i="41" s="1"/>
  <c r="AP42" i="40"/>
  <c r="AO42" i="40"/>
  <c r="CI42" i="40"/>
  <c r="CK42" i="40" s="1"/>
  <c r="AB44" i="40"/>
  <c r="CH44" i="40" s="1"/>
  <c r="CJ44" i="40" s="1"/>
  <c r="AC44" i="40"/>
  <c r="AA44" i="40"/>
  <c r="Y45" i="40"/>
  <c r="X46" i="40" s="1"/>
  <c r="AC43" i="40"/>
  <c r="AA43" i="40"/>
  <c r="AB43" i="40"/>
  <c r="CH43" i="40" s="1"/>
  <c r="CJ43" i="40" s="1"/>
  <c r="AK42" i="40"/>
  <c r="AJ42" i="40"/>
  <c r="AH42" i="40"/>
  <c r="AG42" i="40"/>
  <c r="AN42" i="40"/>
  <c r="AF42" i="40"/>
  <c r="AL42" i="40"/>
  <c r="AD42" i="40"/>
  <c r="AE42" i="40"/>
  <c r="AM42" i="40"/>
  <c r="AI42" i="40"/>
  <c r="AB43" i="39"/>
  <c r="AA44" i="39"/>
  <c r="Z45" i="39" s="1"/>
  <c r="AC42" i="39"/>
  <c r="AD42" i="39"/>
  <c r="AB292" i="31"/>
  <c r="AB296" i="31" s="1"/>
  <c r="AB289" i="31"/>
  <c r="AB293" i="31" s="1"/>
  <c r="AB297" i="31" s="1"/>
  <c r="AC290" i="31"/>
  <c r="AC289" i="31"/>
  <c r="F308" i="31" s="1"/>
  <c r="AC294" i="31"/>
  <c r="AC293" i="31"/>
  <c r="F310" i="31" s="1"/>
  <c r="AC298" i="31"/>
  <c r="F312" i="31" s="1"/>
  <c r="C29" i="38" s="1"/>
  <c r="C32" i="38" s="1"/>
  <c r="AC297" i="31"/>
  <c r="AC237" i="31"/>
  <c r="AC236" i="31"/>
  <c r="F253" i="31" s="1"/>
  <c r="C29" i="39" s="1"/>
  <c r="C32" i="39" s="1"/>
  <c r="AC232" i="31"/>
  <c r="F251" i="31" s="1"/>
  <c r="C29" i="40" s="1"/>
  <c r="C32" i="40" s="1"/>
  <c r="AR42" i="40" s="1"/>
  <c r="AC233" i="31"/>
  <c r="AB235" i="31"/>
  <c r="AB232" i="31"/>
  <c r="AB236" i="31" s="1"/>
  <c r="AK172" i="31"/>
  <c r="AL173" i="31"/>
  <c r="AG123" i="31"/>
  <c r="AG125" i="31"/>
  <c r="AG126" i="31"/>
  <c r="AF79" i="31"/>
  <c r="AF85" i="31"/>
  <c r="AF131" i="31"/>
  <c r="AF137" i="31"/>
  <c r="AG73" i="31"/>
  <c r="AG74" i="31"/>
  <c r="C31" i="38"/>
  <c r="C31" i="39"/>
  <c r="C31" i="40"/>
  <c r="BA42" i="40" l="1"/>
  <c r="AT42" i="40"/>
  <c r="BE42" i="40" s="1"/>
  <c r="I54" i="39"/>
  <c r="CV12" i="39"/>
  <c r="BC20" i="39"/>
  <c r="BN20" i="39" s="1"/>
  <c r="AX20" i="39"/>
  <c r="BI20" i="39" s="1"/>
  <c r="BU20" i="39" s="1"/>
  <c r="BB20" i="39"/>
  <c r="BM20" i="39" s="1"/>
  <c r="BY20" i="39" s="1"/>
  <c r="AU20" i="39"/>
  <c r="BF20" i="39" s="1"/>
  <c r="BR20" i="39" s="1"/>
  <c r="AT20" i="39"/>
  <c r="BE20" i="39" s="1"/>
  <c r="BQ20" i="39" s="1"/>
  <c r="BA20" i="39"/>
  <c r="BL20" i="39" s="1"/>
  <c r="BX20" i="39" s="1"/>
  <c r="AY20" i="39"/>
  <c r="BJ20" i="39" s="1"/>
  <c r="BV20" i="39" s="1"/>
  <c r="AW20" i="39"/>
  <c r="BH20" i="39" s="1"/>
  <c r="BT20" i="39" s="1"/>
  <c r="AV20" i="39"/>
  <c r="BG20" i="39" s="1"/>
  <c r="BS20" i="39" s="1"/>
  <c r="AS20" i="39"/>
  <c r="BD20" i="39" s="1"/>
  <c r="AZ20" i="39"/>
  <c r="BK20" i="39" s="1"/>
  <c r="BW20" i="39" s="1"/>
  <c r="AZ21" i="39"/>
  <c r="BK21" i="39" s="1"/>
  <c r="BW21" i="39" s="1"/>
  <c r="AV21" i="39"/>
  <c r="BG21" i="39" s="1"/>
  <c r="BS21" i="39" s="1"/>
  <c r="BA21" i="39"/>
  <c r="BL21" i="39" s="1"/>
  <c r="BX21" i="39" s="1"/>
  <c r="AW21" i="39"/>
  <c r="BH21" i="39" s="1"/>
  <c r="BT21" i="39" s="1"/>
  <c r="BB21" i="39"/>
  <c r="BM21" i="39" s="1"/>
  <c r="BY21" i="39" s="1"/>
  <c r="AS21" i="39"/>
  <c r="BD21" i="39" s="1"/>
  <c r="AT21" i="39"/>
  <c r="BE21" i="39" s="1"/>
  <c r="BQ21" i="39" s="1"/>
  <c r="AX21" i="39"/>
  <c r="BI21" i="39" s="1"/>
  <c r="BU21" i="39" s="1"/>
  <c r="BC21" i="39"/>
  <c r="BN21" i="39" s="1"/>
  <c r="BZ21" i="39" s="1"/>
  <c r="AY21" i="39"/>
  <c r="BJ21" i="39" s="1"/>
  <c r="BV21" i="39" s="1"/>
  <c r="AU21" i="39"/>
  <c r="BF21" i="39" s="1"/>
  <c r="BR21" i="39" s="1"/>
  <c r="BA22" i="39"/>
  <c r="BL22" i="39" s="1"/>
  <c r="BX22" i="39" s="1"/>
  <c r="AT22" i="39"/>
  <c r="BE22" i="39" s="1"/>
  <c r="BQ22" i="39" s="1"/>
  <c r="AT23" i="39"/>
  <c r="BE23" i="39" s="1"/>
  <c r="BQ23" i="39" s="1"/>
  <c r="AX22" i="39"/>
  <c r="BI22" i="39" s="1"/>
  <c r="BU22" i="39" s="1"/>
  <c r="AZ22" i="39"/>
  <c r="BK22" i="39" s="1"/>
  <c r="BW22" i="39" s="1"/>
  <c r="AS22" i="39"/>
  <c r="BD22" i="39" s="1"/>
  <c r="BC22" i="39"/>
  <c r="BN22" i="39" s="1"/>
  <c r="BZ22" i="39" s="1"/>
  <c r="AW22" i="39"/>
  <c r="BH22" i="39" s="1"/>
  <c r="BT22" i="39" s="1"/>
  <c r="AU22" i="39"/>
  <c r="BF22" i="39" s="1"/>
  <c r="BR22" i="39" s="1"/>
  <c r="AV22" i="39"/>
  <c r="BG22" i="39" s="1"/>
  <c r="BS22" i="39" s="1"/>
  <c r="AZ23" i="39"/>
  <c r="BK23" i="39" s="1"/>
  <c r="BW23" i="39" s="1"/>
  <c r="AY22" i="39"/>
  <c r="BJ22" i="39" s="1"/>
  <c r="BV22" i="39" s="1"/>
  <c r="BB22" i="39"/>
  <c r="BM22" i="39" s="1"/>
  <c r="BY22" i="39" s="1"/>
  <c r="AV23" i="39"/>
  <c r="BG23" i="39" s="1"/>
  <c r="BS23" i="39" s="1"/>
  <c r="AY23" i="39"/>
  <c r="BJ23" i="39" s="1"/>
  <c r="BV23" i="39" s="1"/>
  <c r="AX23" i="39"/>
  <c r="BI23" i="39" s="1"/>
  <c r="BU23" i="39" s="1"/>
  <c r="BA23" i="39"/>
  <c r="BL23" i="39" s="1"/>
  <c r="BX23" i="39" s="1"/>
  <c r="BC23" i="39"/>
  <c r="BN23" i="39" s="1"/>
  <c r="BZ23" i="39" s="1"/>
  <c r="BB23" i="39"/>
  <c r="BM23" i="39" s="1"/>
  <c r="BY23" i="39" s="1"/>
  <c r="AW23" i="39"/>
  <c r="BH23" i="39" s="1"/>
  <c r="BT23" i="39" s="1"/>
  <c r="AS23" i="39"/>
  <c r="BD23" i="39" s="1"/>
  <c r="AU23" i="39"/>
  <c r="BF23" i="39" s="1"/>
  <c r="BR23" i="39" s="1"/>
  <c r="AV24" i="39"/>
  <c r="BG24" i="39" s="1"/>
  <c r="BS24" i="39" s="1"/>
  <c r="AU24" i="39"/>
  <c r="BF24" i="39" s="1"/>
  <c r="BR24" i="39" s="1"/>
  <c r="AY24" i="39"/>
  <c r="BJ24" i="39" s="1"/>
  <c r="BV24" i="39" s="1"/>
  <c r="AS24" i="39"/>
  <c r="BD24" i="39" s="1"/>
  <c r="AW24" i="39"/>
  <c r="BH24" i="39" s="1"/>
  <c r="BT24" i="39" s="1"/>
  <c r="AT24" i="39"/>
  <c r="BE24" i="39" s="1"/>
  <c r="BQ24" i="39" s="1"/>
  <c r="BA24" i="39"/>
  <c r="BL24" i="39" s="1"/>
  <c r="BX24" i="39" s="1"/>
  <c r="AX24" i="39"/>
  <c r="BI24" i="39" s="1"/>
  <c r="BU24" i="39" s="1"/>
  <c r="BB24" i="39"/>
  <c r="BM24" i="39" s="1"/>
  <c r="BY24" i="39" s="1"/>
  <c r="BC24" i="39"/>
  <c r="BN24" i="39" s="1"/>
  <c r="BZ24" i="39" s="1"/>
  <c r="AZ24" i="39"/>
  <c r="BK24" i="39" s="1"/>
  <c r="BW24" i="39" s="1"/>
  <c r="BC25" i="39"/>
  <c r="BN25" i="39" s="1"/>
  <c r="BZ25" i="39" s="1"/>
  <c r="AW25" i="39"/>
  <c r="BH25" i="39" s="1"/>
  <c r="BT25" i="39" s="1"/>
  <c r="AS25" i="39"/>
  <c r="BD25" i="39" s="1"/>
  <c r="BA25" i="39"/>
  <c r="BL25" i="39" s="1"/>
  <c r="BX25" i="39" s="1"/>
  <c r="AT25" i="39"/>
  <c r="BE25" i="39" s="1"/>
  <c r="BQ25" i="39" s="1"/>
  <c r="AU25" i="39"/>
  <c r="BF25" i="39" s="1"/>
  <c r="BR25" i="39" s="1"/>
  <c r="AY25" i="39"/>
  <c r="BJ25" i="39" s="1"/>
  <c r="BV25" i="39" s="1"/>
  <c r="AX25" i="39"/>
  <c r="BI25" i="39" s="1"/>
  <c r="BU25" i="39" s="1"/>
  <c r="AV25" i="39"/>
  <c r="BG25" i="39" s="1"/>
  <c r="BS25" i="39" s="1"/>
  <c r="BB25" i="39"/>
  <c r="BM25" i="39" s="1"/>
  <c r="BY25" i="39" s="1"/>
  <c r="AZ25" i="39"/>
  <c r="BK25" i="39" s="1"/>
  <c r="BW25" i="39" s="1"/>
  <c r="AV26" i="39"/>
  <c r="BG26" i="39" s="1"/>
  <c r="BS26" i="39" s="1"/>
  <c r="AY26" i="39"/>
  <c r="BJ26" i="39" s="1"/>
  <c r="BV26" i="39" s="1"/>
  <c r="BB26" i="39"/>
  <c r="BM26" i="39" s="1"/>
  <c r="BY26" i="39" s="1"/>
  <c r="AT26" i="39"/>
  <c r="BE26" i="39" s="1"/>
  <c r="BQ26" i="39" s="1"/>
  <c r="AS26" i="39"/>
  <c r="BD26" i="39" s="1"/>
  <c r="BA26" i="39"/>
  <c r="BL26" i="39" s="1"/>
  <c r="BX26" i="39" s="1"/>
  <c r="AU26" i="39"/>
  <c r="BF26" i="39" s="1"/>
  <c r="BR26" i="39" s="1"/>
  <c r="AZ26" i="39"/>
  <c r="BK26" i="39" s="1"/>
  <c r="BW26" i="39" s="1"/>
  <c r="BC26" i="39"/>
  <c r="BN26" i="39" s="1"/>
  <c r="BZ26" i="39" s="1"/>
  <c r="AX26" i="39"/>
  <c r="BI26" i="39" s="1"/>
  <c r="BU26" i="39" s="1"/>
  <c r="AW26" i="39"/>
  <c r="BH26" i="39" s="1"/>
  <c r="BT26" i="39" s="1"/>
  <c r="BA27" i="39"/>
  <c r="BL27" i="39" s="1"/>
  <c r="BX27" i="39" s="1"/>
  <c r="AS27" i="39"/>
  <c r="BD27" i="39" s="1"/>
  <c r="AV27" i="39"/>
  <c r="BG27" i="39" s="1"/>
  <c r="BS27" i="39" s="1"/>
  <c r="AW27" i="39"/>
  <c r="BH27" i="39" s="1"/>
  <c r="BT27" i="39" s="1"/>
  <c r="BC27" i="39"/>
  <c r="BN27" i="39" s="1"/>
  <c r="BZ27" i="39" s="1"/>
  <c r="AY27" i="39"/>
  <c r="BJ27" i="39" s="1"/>
  <c r="BV27" i="39" s="1"/>
  <c r="BB27" i="39"/>
  <c r="BM27" i="39" s="1"/>
  <c r="BY27" i="39" s="1"/>
  <c r="AX27" i="39"/>
  <c r="BI27" i="39" s="1"/>
  <c r="BU27" i="39" s="1"/>
  <c r="AZ27" i="39"/>
  <c r="BK27" i="39" s="1"/>
  <c r="BW27" i="39" s="1"/>
  <c r="AT27" i="39"/>
  <c r="BE27" i="39" s="1"/>
  <c r="BQ27" i="39" s="1"/>
  <c r="AU27" i="39"/>
  <c r="BF27" i="39" s="1"/>
  <c r="BR27" i="39" s="1"/>
  <c r="AT28" i="39"/>
  <c r="BE28" i="39" s="1"/>
  <c r="BQ28" i="39" s="1"/>
  <c r="AV28" i="39"/>
  <c r="BG28" i="39" s="1"/>
  <c r="BS28" i="39" s="1"/>
  <c r="BB28" i="39"/>
  <c r="BM28" i="39" s="1"/>
  <c r="BY28" i="39" s="1"/>
  <c r="BC28" i="39"/>
  <c r="BN28" i="39" s="1"/>
  <c r="BZ28" i="39" s="1"/>
  <c r="AS28" i="39"/>
  <c r="BD28" i="39" s="1"/>
  <c r="AX28" i="39"/>
  <c r="BI28" i="39" s="1"/>
  <c r="BU28" i="39" s="1"/>
  <c r="AW28" i="39"/>
  <c r="BH28" i="39" s="1"/>
  <c r="BT28" i="39" s="1"/>
  <c r="BA28" i="39"/>
  <c r="BL28" i="39" s="1"/>
  <c r="BX28" i="39" s="1"/>
  <c r="AU28" i="39"/>
  <c r="BF28" i="39" s="1"/>
  <c r="BR28" i="39" s="1"/>
  <c r="AY28" i="39"/>
  <c r="BJ28" i="39" s="1"/>
  <c r="BV28" i="39" s="1"/>
  <c r="AZ28" i="39"/>
  <c r="BK28" i="39" s="1"/>
  <c r="BW28" i="39" s="1"/>
  <c r="BA29" i="39"/>
  <c r="BL29" i="39" s="1"/>
  <c r="BX29" i="39" s="1"/>
  <c r="AU29" i="39"/>
  <c r="BF29" i="39" s="1"/>
  <c r="BR29" i="39" s="1"/>
  <c r="AW29" i="39"/>
  <c r="BH29" i="39" s="1"/>
  <c r="BT29" i="39" s="1"/>
  <c r="AS29" i="39"/>
  <c r="BD29" i="39" s="1"/>
  <c r="AV29" i="39"/>
  <c r="BG29" i="39" s="1"/>
  <c r="BS29" i="39" s="1"/>
  <c r="AZ29" i="39"/>
  <c r="BK29" i="39" s="1"/>
  <c r="BW29" i="39" s="1"/>
  <c r="AX29" i="39"/>
  <c r="BI29" i="39" s="1"/>
  <c r="BU29" i="39" s="1"/>
  <c r="AT29" i="39"/>
  <c r="BE29" i="39" s="1"/>
  <c r="BQ29" i="39" s="1"/>
  <c r="BB29" i="39"/>
  <c r="BM29" i="39" s="1"/>
  <c r="BY29" i="39" s="1"/>
  <c r="AY29" i="39"/>
  <c r="BJ29" i="39" s="1"/>
  <c r="BV29" i="39" s="1"/>
  <c r="BC29" i="39"/>
  <c r="BN29" i="39" s="1"/>
  <c r="BZ29" i="39" s="1"/>
  <c r="AT30" i="39"/>
  <c r="BE30" i="39" s="1"/>
  <c r="BQ30" i="39" s="1"/>
  <c r="AZ30" i="39"/>
  <c r="BK30" i="39" s="1"/>
  <c r="BW30" i="39" s="1"/>
  <c r="AV30" i="39"/>
  <c r="BG30" i="39" s="1"/>
  <c r="BS30" i="39" s="1"/>
  <c r="AS30" i="39"/>
  <c r="BD30" i="39" s="1"/>
  <c r="AU30" i="39"/>
  <c r="BF30" i="39" s="1"/>
  <c r="BR30" i="39" s="1"/>
  <c r="AW30" i="39"/>
  <c r="BH30" i="39" s="1"/>
  <c r="BT30" i="39" s="1"/>
  <c r="BC30" i="39"/>
  <c r="BN30" i="39" s="1"/>
  <c r="BZ30" i="39" s="1"/>
  <c r="BA30" i="39"/>
  <c r="BL30" i="39" s="1"/>
  <c r="BX30" i="39" s="1"/>
  <c r="AX30" i="39"/>
  <c r="BI30" i="39" s="1"/>
  <c r="BU30" i="39" s="1"/>
  <c r="BB30" i="39"/>
  <c r="BM30" i="39" s="1"/>
  <c r="BY30" i="39" s="1"/>
  <c r="AY30" i="39"/>
  <c r="BJ30" i="39" s="1"/>
  <c r="BV30" i="39" s="1"/>
  <c r="AW31" i="39"/>
  <c r="BH31" i="39" s="1"/>
  <c r="BT31" i="39" s="1"/>
  <c r="AV31" i="39"/>
  <c r="BG31" i="39" s="1"/>
  <c r="BS31" i="39" s="1"/>
  <c r="AS31" i="39"/>
  <c r="BD31" i="39" s="1"/>
  <c r="AZ31" i="39"/>
  <c r="BK31" i="39" s="1"/>
  <c r="BW31" i="39" s="1"/>
  <c r="BC31" i="39"/>
  <c r="BN31" i="39" s="1"/>
  <c r="BZ31" i="39" s="1"/>
  <c r="AX31" i="39"/>
  <c r="BI31" i="39" s="1"/>
  <c r="BU31" i="39" s="1"/>
  <c r="BA31" i="39"/>
  <c r="BL31" i="39" s="1"/>
  <c r="BX31" i="39" s="1"/>
  <c r="BB31" i="39"/>
  <c r="BM31" i="39" s="1"/>
  <c r="BY31" i="39" s="1"/>
  <c r="AY31" i="39"/>
  <c r="BJ31" i="39" s="1"/>
  <c r="BV31" i="39" s="1"/>
  <c r="AT31" i="39"/>
  <c r="BE31" i="39" s="1"/>
  <c r="BQ31" i="39" s="1"/>
  <c r="AU31" i="39"/>
  <c r="BF31" i="39" s="1"/>
  <c r="BR31" i="39" s="1"/>
  <c r="AV32" i="39"/>
  <c r="BG32" i="39" s="1"/>
  <c r="BS32" i="39" s="1"/>
  <c r="BC32" i="39"/>
  <c r="BN32" i="39" s="1"/>
  <c r="BZ32" i="39" s="1"/>
  <c r="AX32" i="39"/>
  <c r="BI32" i="39" s="1"/>
  <c r="BU32" i="39" s="1"/>
  <c r="AY33" i="39"/>
  <c r="BJ33" i="39" s="1"/>
  <c r="BV33" i="39" s="1"/>
  <c r="BC33" i="39"/>
  <c r="BN33" i="39" s="1"/>
  <c r="BZ33" i="39" s="1"/>
  <c r="AW33" i="39"/>
  <c r="BH33" i="39" s="1"/>
  <c r="BT33" i="39" s="1"/>
  <c r="BA33" i="39"/>
  <c r="BL33" i="39" s="1"/>
  <c r="BX33" i="39" s="1"/>
  <c r="AU33" i="39"/>
  <c r="BF33" i="39" s="1"/>
  <c r="BR33" i="39" s="1"/>
  <c r="AV33" i="39"/>
  <c r="BG33" i="39" s="1"/>
  <c r="BS33" i="39" s="1"/>
  <c r="AY32" i="39"/>
  <c r="BJ32" i="39" s="1"/>
  <c r="BV32" i="39" s="1"/>
  <c r="BB33" i="39"/>
  <c r="BM33" i="39" s="1"/>
  <c r="BY33" i="39" s="1"/>
  <c r="AX33" i="39"/>
  <c r="BI33" i="39" s="1"/>
  <c r="BU33" i="39" s="1"/>
  <c r="AS33" i="39"/>
  <c r="BD33" i="39" s="1"/>
  <c r="AW32" i="39"/>
  <c r="BH32" i="39" s="1"/>
  <c r="BT32" i="39" s="1"/>
  <c r="AZ32" i="39"/>
  <c r="BK32" i="39" s="1"/>
  <c r="BW32" i="39" s="1"/>
  <c r="BB32" i="39"/>
  <c r="BM32" i="39" s="1"/>
  <c r="BY32" i="39" s="1"/>
  <c r="AS32" i="39"/>
  <c r="BD32" i="39" s="1"/>
  <c r="AU32" i="39"/>
  <c r="BF32" i="39" s="1"/>
  <c r="BR32" i="39" s="1"/>
  <c r="AT33" i="39"/>
  <c r="BE33" i="39" s="1"/>
  <c r="BQ33" i="39" s="1"/>
  <c r="BA32" i="39"/>
  <c r="BL32" i="39" s="1"/>
  <c r="BX32" i="39" s="1"/>
  <c r="AT32" i="39"/>
  <c r="BE32" i="39" s="1"/>
  <c r="BQ32" i="39" s="1"/>
  <c r="AZ33" i="39"/>
  <c r="BK33" i="39" s="1"/>
  <c r="BW33" i="39" s="1"/>
  <c r="AT34" i="39"/>
  <c r="BE34" i="39" s="1"/>
  <c r="BQ34" i="39" s="1"/>
  <c r="AW34" i="39"/>
  <c r="BH34" i="39" s="1"/>
  <c r="BT34" i="39" s="1"/>
  <c r="AS34" i="39"/>
  <c r="BD34" i="39" s="1"/>
  <c r="BB34" i="39"/>
  <c r="BM34" i="39" s="1"/>
  <c r="BY34" i="39" s="1"/>
  <c r="AZ34" i="39"/>
  <c r="BK34" i="39" s="1"/>
  <c r="BW34" i="39" s="1"/>
  <c r="AY34" i="39"/>
  <c r="BJ34" i="39" s="1"/>
  <c r="BV34" i="39" s="1"/>
  <c r="BA34" i="39"/>
  <c r="BL34" i="39" s="1"/>
  <c r="BX34" i="39" s="1"/>
  <c r="AU34" i="39"/>
  <c r="BF34" i="39" s="1"/>
  <c r="BR34" i="39" s="1"/>
  <c r="AV34" i="39"/>
  <c r="BG34" i="39" s="1"/>
  <c r="BS34" i="39" s="1"/>
  <c r="AX34" i="39"/>
  <c r="BI34" i="39" s="1"/>
  <c r="BU34" i="39" s="1"/>
  <c r="BC34" i="39"/>
  <c r="BN34" i="39" s="1"/>
  <c r="BZ34" i="39" s="1"/>
  <c r="AX35" i="39"/>
  <c r="BI35" i="39" s="1"/>
  <c r="BU35" i="39" s="1"/>
  <c r="AY35" i="39"/>
  <c r="BJ35" i="39" s="1"/>
  <c r="BV35" i="39" s="1"/>
  <c r="BC35" i="39"/>
  <c r="BN35" i="39" s="1"/>
  <c r="BZ35" i="39" s="1"/>
  <c r="AW35" i="39"/>
  <c r="BH35" i="39" s="1"/>
  <c r="BT35" i="39" s="1"/>
  <c r="AZ35" i="39"/>
  <c r="BK35" i="39" s="1"/>
  <c r="BW35" i="39" s="1"/>
  <c r="BB35" i="39"/>
  <c r="BM35" i="39" s="1"/>
  <c r="BY35" i="39" s="1"/>
  <c r="AS35" i="39"/>
  <c r="BD35" i="39" s="1"/>
  <c r="AT35" i="39"/>
  <c r="BE35" i="39" s="1"/>
  <c r="BQ35" i="39" s="1"/>
  <c r="AU35" i="39"/>
  <c r="BF35" i="39" s="1"/>
  <c r="BR35" i="39" s="1"/>
  <c r="AV35" i="39"/>
  <c r="BG35" i="39" s="1"/>
  <c r="BS35" i="39" s="1"/>
  <c r="BA35" i="39"/>
  <c r="BL35" i="39" s="1"/>
  <c r="BX35" i="39" s="1"/>
  <c r="AZ37" i="39"/>
  <c r="BK37" i="39" s="1"/>
  <c r="BW37" i="39" s="1"/>
  <c r="AV36" i="39"/>
  <c r="BG36" i="39" s="1"/>
  <c r="BS36" i="39" s="1"/>
  <c r="AU36" i="39"/>
  <c r="BF36" i="39" s="1"/>
  <c r="BR36" i="39" s="1"/>
  <c r="BA37" i="39"/>
  <c r="BL37" i="39" s="1"/>
  <c r="BX37" i="39" s="1"/>
  <c r="AY36" i="39"/>
  <c r="BJ36" i="39" s="1"/>
  <c r="BV36" i="39" s="1"/>
  <c r="AZ36" i="39"/>
  <c r="BK36" i="39" s="1"/>
  <c r="BW36" i="39" s="1"/>
  <c r="AW36" i="39"/>
  <c r="BH36" i="39" s="1"/>
  <c r="BT36" i="39" s="1"/>
  <c r="AT36" i="39"/>
  <c r="BE36" i="39" s="1"/>
  <c r="BQ36" i="39" s="1"/>
  <c r="BA36" i="39"/>
  <c r="BL36" i="39" s="1"/>
  <c r="BX36" i="39" s="1"/>
  <c r="BC36" i="39"/>
  <c r="BN36" i="39" s="1"/>
  <c r="BZ36" i="39" s="1"/>
  <c r="BB36" i="39"/>
  <c r="BM36" i="39" s="1"/>
  <c r="BY36" i="39" s="1"/>
  <c r="AX36" i="39"/>
  <c r="BI36" i="39" s="1"/>
  <c r="BU36" i="39" s="1"/>
  <c r="AS36" i="39"/>
  <c r="BD36" i="39" s="1"/>
  <c r="BB37" i="39"/>
  <c r="BM37" i="39" s="1"/>
  <c r="BY37" i="39" s="1"/>
  <c r="AS37" i="39"/>
  <c r="BD37" i="39" s="1"/>
  <c r="AY37" i="39"/>
  <c r="BJ37" i="39" s="1"/>
  <c r="BV37" i="39" s="1"/>
  <c r="AT37" i="39"/>
  <c r="BE37" i="39" s="1"/>
  <c r="BQ37" i="39" s="1"/>
  <c r="AU37" i="39"/>
  <c r="BF37" i="39" s="1"/>
  <c r="BR37" i="39" s="1"/>
  <c r="BC37" i="39"/>
  <c r="BN37" i="39" s="1"/>
  <c r="BZ37" i="39" s="1"/>
  <c r="AX37" i="39"/>
  <c r="BI37" i="39" s="1"/>
  <c r="BU37" i="39" s="1"/>
  <c r="AV37" i="39"/>
  <c r="BG37" i="39" s="1"/>
  <c r="BS37" i="39" s="1"/>
  <c r="AW37" i="39"/>
  <c r="BH37" i="39" s="1"/>
  <c r="BT37" i="39" s="1"/>
  <c r="AX38" i="39"/>
  <c r="BI38" i="39" s="1"/>
  <c r="BU38" i="39" s="1"/>
  <c r="BB38" i="39"/>
  <c r="BM38" i="39" s="1"/>
  <c r="BY38" i="39" s="1"/>
  <c r="AT38" i="39"/>
  <c r="BE38" i="39" s="1"/>
  <c r="BQ38" i="39" s="1"/>
  <c r="BA38" i="39"/>
  <c r="BL38" i="39" s="1"/>
  <c r="BX38" i="39" s="1"/>
  <c r="AZ38" i="39"/>
  <c r="BK38" i="39" s="1"/>
  <c r="BW38" i="39" s="1"/>
  <c r="BC38" i="39"/>
  <c r="BN38" i="39" s="1"/>
  <c r="BZ38" i="39" s="1"/>
  <c r="AU38" i="39"/>
  <c r="BF38" i="39" s="1"/>
  <c r="BR38" i="39" s="1"/>
  <c r="AS38" i="39"/>
  <c r="BD38" i="39" s="1"/>
  <c r="AV38" i="39"/>
  <c r="BG38" i="39" s="1"/>
  <c r="BS38" i="39" s="1"/>
  <c r="AY38" i="39"/>
  <c r="BJ38" i="39" s="1"/>
  <c r="BV38" i="39" s="1"/>
  <c r="AW38" i="39"/>
  <c r="BH38" i="39" s="1"/>
  <c r="BT38" i="39" s="1"/>
  <c r="AZ39" i="39"/>
  <c r="BK39" i="39" s="1"/>
  <c r="BW39" i="39" s="1"/>
  <c r="BB40" i="39"/>
  <c r="BM40" i="39" s="1"/>
  <c r="BY40" i="39" s="1"/>
  <c r="BC39" i="39"/>
  <c r="BN39" i="39" s="1"/>
  <c r="BZ39" i="39" s="1"/>
  <c r="AW40" i="39"/>
  <c r="BH40" i="39" s="1"/>
  <c r="BT40" i="39" s="1"/>
  <c r="BA39" i="39"/>
  <c r="BL39" i="39" s="1"/>
  <c r="BX39" i="39" s="1"/>
  <c r="AT39" i="39"/>
  <c r="BE39" i="39" s="1"/>
  <c r="BQ39" i="39" s="1"/>
  <c r="AX40" i="39"/>
  <c r="BI40" i="39" s="1"/>
  <c r="BU40" i="39" s="1"/>
  <c r="AX39" i="39"/>
  <c r="BI39" i="39" s="1"/>
  <c r="BU39" i="39" s="1"/>
  <c r="BC40" i="39"/>
  <c r="BN40" i="39" s="1"/>
  <c r="BZ40" i="39" s="1"/>
  <c r="AZ40" i="39"/>
  <c r="BK40" i="39" s="1"/>
  <c r="BW40" i="39" s="1"/>
  <c r="AV39" i="39"/>
  <c r="BG39" i="39" s="1"/>
  <c r="BS39" i="39" s="1"/>
  <c r="BB39" i="39"/>
  <c r="BM39" i="39" s="1"/>
  <c r="BY39" i="39" s="1"/>
  <c r="AV40" i="39"/>
  <c r="BG40" i="39" s="1"/>
  <c r="BS40" i="39" s="1"/>
  <c r="AS39" i="39"/>
  <c r="BD39" i="39" s="1"/>
  <c r="AW39" i="39"/>
  <c r="BH39" i="39" s="1"/>
  <c r="BT39" i="39" s="1"/>
  <c r="AT40" i="39"/>
  <c r="BE40" i="39" s="1"/>
  <c r="BQ40" i="39" s="1"/>
  <c r="AU39" i="39"/>
  <c r="BF39" i="39" s="1"/>
  <c r="BR39" i="39" s="1"/>
  <c r="AY39" i="39"/>
  <c r="BJ39" i="39" s="1"/>
  <c r="BV39" i="39" s="1"/>
  <c r="AS40" i="39"/>
  <c r="BD40" i="39" s="1"/>
  <c r="AY41" i="39"/>
  <c r="BJ41" i="39" s="1"/>
  <c r="BV41" i="39" s="1"/>
  <c r="AY40" i="39"/>
  <c r="BJ40" i="39" s="1"/>
  <c r="BV40" i="39" s="1"/>
  <c r="AU40" i="39"/>
  <c r="BF40" i="39" s="1"/>
  <c r="BR40" i="39" s="1"/>
  <c r="AX41" i="39"/>
  <c r="BI41" i="39" s="1"/>
  <c r="BU41" i="39" s="1"/>
  <c r="BA40" i="39"/>
  <c r="BL40" i="39" s="1"/>
  <c r="BX40" i="39" s="1"/>
  <c r="AW41" i="39"/>
  <c r="BH41" i="39" s="1"/>
  <c r="BB41" i="39"/>
  <c r="BM41" i="39" s="1"/>
  <c r="BY41" i="39" s="1"/>
  <c r="AT41" i="39"/>
  <c r="BE41" i="39" s="1"/>
  <c r="BQ41" i="39" s="1"/>
  <c r="AV41" i="39"/>
  <c r="BG41" i="39" s="1"/>
  <c r="BS41" i="39" s="1"/>
  <c r="AU41" i="39"/>
  <c r="BF41" i="39" s="1"/>
  <c r="BR41" i="39" s="1"/>
  <c r="BC41" i="39"/>
  <c r="BN41" i="39" s="1"/>
  <c r="AS41" i="39"/>
  <c r="BD41" i="39" s="1"/>
  <c r="AZ41" i="39"/>
  <c r="BK41" i="39" s="1"/>
  <c r="BW41" i="39" s="1"/>
  <c r="BA41" i="39"/>
  <c r="BL41" i="39" s="1"/>
  <c r="D55" i="38"/>
  <c r="AO12" i="38"/>
  <c r="AQ42" i="40"/>
  <c r="AW42" i="40"/>
  <c r="C29" i="42"/>
  <c r="C32" i="42" s="1"/>
  <c r="C29" i="41"/>
  <c r="C32" i="41" s="1"/>
  <c r="AU42" i="40"/>
  <c r="BF42" i="40" s="1"/>
  <c r="AZ42" i="40"/>
  <c r="BK42" i="40" s="1"/>
  <c r="AV42" i="40"/>
  <c r="AY42" i="40"/>
  <c r="BJ42" i="40" s="1"/>
  <c r="BV42" i="40" s="1"/>
  <c r="AX42" i="40"/>
  <c r="BI42" i="40" s="1"/>
  <c r="BU42" i="40" s="1"/>
  <c r="AW20" i="40"/>
  <c r="BH20" i="40" s="1"/>
  <c r="BT20" i="40" s="1"/>
  <c r="AR20" i="40"/>
  <c r="BC20" i="40" s="1"/>
  <c r="BO20" i="40" s="1"/>
  <c r="AT20" i="40"/>
  <c r="BE20" i="40" s="1"/>
  <c r="BQ20" i="40" s="1"/>
  <c r="AY20" i="40"/>
  <c r="BJ20" i="40" s="1"/>
  <c r="BV20" i="40" s="1"/>
  <c r="CT12" i="40"/>
  <c r="AZ20" i="40"/>
  <c r="BK20" i="40" s="1"/>
  <c r="BW20" i="40" s="1"/>
  <c r="BA20" i="40"/>
  <c r="BL20" i="40" s="1"/>
  <c r="BX20" i="40" s="1"/>
  <c r="AS20" i="40"/>
  <c r="BD20" i="40" s="1"/>
  <c r="BP20" i="40" s="1"/>
  <c r="AQ20" i="40"/>
  <c r="BB20" i="40" s="1"/>
  <c r="AX20" i="40"/>
  <c r="BI20" i="40" s="1"/>
  <c r="BU20" i="40" s="1"/>
  <c r="AU20" i="40"/>
  <c r="BF20" i="40" s="1"/>
  <c r="BR20" i="40" s="1"/>
  <c r="AV20" i="40"/>
  <c r="BG20" i="40" s="1"/>
  <c r="BS20" i="40" s="1"/>
  <c r="AY21" i="40"/>
  <c r="BJ21" i="40" s="1"/>
  <c r="BV21" i="40" s="1"/>
  <c r="AV21" i="40"/>
  <c r="BG21" i="40" s="1"/>
  <c r="BS21" i="40" s="1"/>
  <c r="AQ21" i="40"/>
  <c r="BB21" i="40" s="1"/>
  <c r="AZ21" i="40"/>
  <c r="BK21" i="40" s="1"/>
  <c r="BW21" i="40" s="1"/>
  <c r="AT21" i="40"/>
  <c r="BE21" i="40" s="1"/>
  <c r="BQ21" i="40" s="1"/>
  <c r="BA21" i="40"/>
  <c r="BL21" i="40" s="1"/>
  <c r="BX21" i="40" s="1"/>
  <c r="AW21" i="40"/>
  <c r="BH21" i="40" s="1"/>
  <c r="BT21" i="40" s="1"/>
  <c r="AU21" i="40"/>
  <c r="BF21" i="40" s="1"/>
  <c r="BR21" i="40" s="1"/>
  <c r="AS21" i="40"/>
  <c r="BD21" i="40" s="1"/>
  <c r="BP21" i="40" s="1"/>
  <c r="AR21" i="40"/>
  <c r="BC21" i="40" s="1"/>
  <c r="BO21" i="40" s="1"/>
  <c r="AX21" i="40"/>
  <c r="BI21" i="40" s="1"/>
  <c r="BU21" i="40" s="1"/>
  <c r="AV22" i="40"/>
  <c r="BG22" i="40" s="1"/>
  <c r="BS22" i="40" s="1"/>
  <c r="AR22" i="40"/>
  <c r="BC22" i="40" s="1"/>
  <c r="BO22" i="40" s="1"/>
  <c r="AT22" i="40"/>
  <c r="BE22" i="40" s="1"/>
  <c r="BQ22" i="40" s="1"/>
  <c r="AY22" i="40"/>
  <c r="BJ22" i="40" s="1"/>
  <c r="BV22" i="40" s="1"/>
  <c r="AW22" i="40"/>
  <c r="BH22" i="40" s="1"/>
  <c r="BT22" i="40" s="1"/>
  <c r="AX22" i="40"/>
  <c r="BI22" i="40" s="1"/>
  <c r="BU22" i="40" s="1"/>
  <c r="BA22" i="40"/>
  <c r="BL22" i="40" s="1"/>
  <c r="BX22" i="40" s="1"/>
  <c r="AS22" i="40"/>
  <c r="BD22" i="40" s="1"/>
  <c r="BP22" i="40" s="1"/>
  <c r="AU22" i="40"/>
  <c r="BF22" i="40" s="1"/>
  <c r="BR22" i="40" s="1"/>
  <c r="AZ22" i="40"/>
  <c r="BK22" i="40" s="1"/>
  <c r="BW22" i="40" s="1"/>
  <c r="AQ22" i="40"/>
  <c r="BB22" i="40" s="1"/>
  <c r="AX23" i="40"/>
  <c r="BI23" i="40" s="1"/>
  <c r="BU23" i="40" s="1"/>
  <c r="AR24" i="40"/>
  <c r="BC24" i="40" s="1"/>
  <c r="BO24" i="40" s="1"/>
  <c r="AQ23" i="40"/>
  <c r="BB23" i="40" s="1"/>
  <c r="AS23" i="40"/>
  <c r="BD23" i="40" s="1"/>
  <c r="BP23" i="40" s="1"/>
  <c r="AY24" i="40"/>
  <c r="BJ24" i="40" s="1"/>
  <c r="BV24" i="40" s="1"/>
  <c r="AU23" i="40"/>
  <c r="BF23" i="40" s="1"/>
  <c r="BR23" i="40" s="1"/>
  <c r="AR23" i="40"/>
  <c r="BC23" i="40" s="1"/>
  <c r="BO23" i="40" s="1"/>
  <c r="AW24" i="40"/>
  <c r="BH24" i="40" s="1"/>
  <c r="BT24" i="40" s="1"/>
  <c r="BA24" i="40"/>
  <c r="BL24" i="40" s="1"/>
  <c r="BX24" i="40" s="1"/>
  <c r="AY23" i="40"/>
  <c r="BJ23" i="40" s="1"/>
  <c r="BV23" i="40" s="1"/>
  <c r="AV23" i="40"/>
  <c r="BG23" i="40" s="1"/>
  <c r="BS23" i="40" s="1"/>
  <c r="AV24" i="40"/>
  <c r="BG24" i="40" s="1"/>
  <c r="BS24" i="40" s="1"/>
  <c r="AS24" i="40"/>
  <c r="BD24" i="40" s="1"/>
  <c r="BP24" i="40" s="1"/>
  <c r="AW23" i="40"/>
  <c r="BH23" i="40" s="1"/>
  <c r="BT23" i="40" s="1"/>
  <c r="AQ24" i="40"/>
  <c r="BB24" i="40" s="1"/>
  <c r="AX24" i="40"/>
  <c r="BI24" i="40" s="1"/>
  <c r="BU24" i="40" s="1"/>
  <c r="AT23" i="40"/>
  <c r="BE23" i="40" s="1"/>
  <c r="BQ23" i="40" s="1"/>
  <c r="AZ24" i="40"/>
  <c r="BK24" i="40" s="1"/>
  <c r="BW24" i="40" s="1"/>
  <c r="BA23" i="40"/>
  <c r="BL23" i="40" s="1"/>
  <c r="BX23" i="40" s="1"/>
  <c r="AU24" i="40"/>
  <c r="BF24" i="40" s="1"/>
  <c r="BR24" i="40" s="1"/>
  <c r="AZ23" i="40"/>
  <c r="BK23" i="40" s="1"/>
  <c r="BW23" i="40" s="1"/>
  <c r="AT24" i="40"/>
  <c r="BE24" i="40" s="1"/>
  <c r="BQ24" i="40" s="1"/>
  <c r="AV25" i="40"/>
  <c r="BG25" i="40" s="1"/>
  <c r="BS25" i="40" s="1"/>
  <c r="AX25" i="40"/>
  <c r="BI25" i="40" s="1"/>
  <c r="BU25" i="40" s="1"/>
  <c r="AR25" i="40"/>
  <c r="BC25" i="40" s="1"/>
  <c r="BO25" i="40" s="1"/>
  <c r="AW25" i="40"/>
  <c r="BH25" i="40" s="1"/>
  <c r="BT25" i="40" s="1"/>
  <c r="AU25" i="40"/>
  <c r="BF25" i="40" s="1"/>
  <c r="BR25" i="40" s="1"/>
  <c r="AT25" i="40"/>
  <c r="BE25" i="40" s="1"/>
  <c r="BQ25" i="40" s="1"/>
  <c r="AQ25" i="40"/>
  <c r="BB25" i="40" s="1"/>
  <c r="AY25" i="40"/>
  <c r="BJ25" i="40" s="1"/>
  <c r="BV25" i="40" s="1"/>
  <c r="BA25" i="40"/>
  <c r="BL25" i="40" s="1"/>
  <c r="BX25" i="40" s="1"/>
  <c r="AS25" i="40"/>
  <c r="BD25" i="40" s="1"/>
  <c r="BP25" i="40" s="1"/>
  <c r="AZ25" i="40"/>
  <c r="BK25" i="40" s="1"/>
  <c r="BW25" i="40" s="1"/>
  <c r="AV26" i="40"/>
  <c r="BG26" i="40" s="1"/>
  <c r="BS26" i="40" s="1"/>
  <c r="AS27" i="40"/>
  <c r="BD27" i="40" s="1"/>
  <c r="BP27" i="40" s="1"/>
  <c r="AS26" i="40"/>
  <c r="BD26" i="40" s="1"/>
  <c r="BP26" i="40" s="1"/>
  <c r="AX27" i="40"/>
  <c r="BI27" i="40" s="1"/>
  <c r="BU27" i="40" s="1"/>
  <c r="AY26" i="40"/>
  <c r="BJ26" i="40" s="1"/>
  <c r="BV26" i="40" s="1"/>
  <c r="AT27" i="40"/>
  <c r="BE27" i="40" s="1"/>
  <c r="BQ27" i="40" s="1"/>
  <c r="AZ26" i="40"/>
  <c r="BK26" i="40" s="1"/>
  <c r="BW26" i="40" s="1"/>
  <c r="AT26" i="40"/>
  <c r="BE26" i="40" s="1"/>
  <c r="BQ26" i="40" s="1"/>
  <c r="AQ27" i="40"/>
  <c r="BB27" i="40" s="1"/>
  <c r="AV27" i="40"/>
  <c r="BG27" i="40" s="1"/>
  <c r="BS27" i="40" s="1"/>
  <c r="AZ27" i="40"/>
  <c r="BK27" i="40" s="1"/>
  <c r="BW27" i="40" s="1"/>
  <c r="AX26" i="40"/>
  <c r="BI26" i="40" s="1"/>
  <c r="BU26" i="40" s="1"/>
  <c r="AR26" i="40"/>
  <c r="BC26" i="40" s="1"/>
  <c r="BO26" i="40" s="1"/>
  <c r="AR27" i="40"/>
  <c r="BC27" i="40" s="1"/>
  <c r="BO27" i="40" s="1"/>
  <c r="AY27" i="40"/>
  <c r="BJ27" i="40" s="1"/>
  <c r="BV27" i="40" s="1"/>
  <c r="AW26" i="40"/>
  <c r="BH26" i="40" s="1"/>
  <c r="BT26" i="40" s="1"/>
  <c r="AU26" i="40"/>
  <c r="BF26" i="40" s="1"/>
  <c r="BR26" i="40" s="1"/>
  <c r="AW27" i="40"/>
  <c r="BH27" i="40" s="1"/>
  <c r="BT27" i="40" s="1"/>
  <c r="AU27" i="40"/>
  <c r="BF27" i="40" s="1"/>
  <c r="BR27" i="40" s="1"/>
  <c r="AQ26" i="40"/>
  <c r="BB26" i="40" s="1"/>
  <c r="BA27" i="40"/>
  <c r="BL27" i="40" s="1"/>
  <c r="BX27" i="40" s="1"/>
  <c r="BA26" i="40"/>
  <c r="BL26" i="40" s="1"/>
  <c r="BX26" i="40" s="1"/>
  <c r="AR28" i="40"/>
  <c r="BC28" i="40" s="1"/>
  <c r="BO28" i="40" s="1"/>
  <c r="AX28" i="40"/>
  <c r="BI28" i="40" s="1"/>
  <c r="BU28" i="40" s="1"/>
  <c r="AV28" i="40"/>
  <c r="BG28" i="40" s="1"/>
  <c r="BS28" i="40" s="1"/>
  <c r="AU28" i="40"/>
  <c r="BF28" i="40" s="1"/>
  <c r="BR28" i="40" s="1"/>
  <c r="AY28" i="40"/>
  <c r="BJ28" i="40" s="1"/>
  <c r="BV28" i="40" s="1"/>
  <c r="AW28" i="40"/>
  <c r="BH28" i="40" s="1"/>
  <c r="BT28" i="40" s="1"/>
  <c r="AS28" i="40"/>
  <c r="BD28" i="40" s="1"/>
  <c r="BP28" i="40" s="1"/>
  <c r="AQ28" i="40"/>
  <c r="BB28" i="40" s="1"/>
  <c r="BA28" i="40"/>
  <c r="BL28" i="40" s="1"/>
  <c r="BX28" i="40" s="1"/>
  <c r="AT28" i="40"/>
  <c r="BE28" i="40" s="1"/>
  <c r="BQ28" i="40" s="1"/>
  <c r="AZ28" i="40"/>
  <c r="BK28" i="40" s="1"/>
  <c r="BW28" i="40" s="1"/>
  <c r="AQ29" i="40"/>
  <c r="BB29" i="40" s="1"/>
  <c r="AZ29" i="40"/>
  <c r="BK29" i="40" s="1"/>
  <c r="BW29" i="40" s="1"/>
  <c r="AY29" i="40"/>
  <c r="BJ29" i="40" s="1"/>
  <c r="BV29" i="40" s="1"/>
  <c r="AS29" i="40"/>
  <c r="BD29" i="40" s="1"/>
  <c r="BP29" i="40" s="1"/>
  <c r="AX29" i="40"/>
  <c r="BI29" i="40" s="1"/>
  <c r="BU29" i="40" s="1"/>
  <c r="AW29" i="40"/>
  <c r="BH29" i="40" s="1"/>
  <c r="BT29" i="40" s="1"/>
  <c r="AR29" i="40"/>
  <c r="BC29" i="40" s="1"/>
  <c r="BO29" i="40" s="1"/>
  <c r="AU29" i="40"/>
  <c r="BF29" i="40" s="1"/>
  <c r="BR29" i="40" s="1"/>
  <c r="BA29" i="40"/>
  <c r="BL29" i="40" s="1"/>
  <c r="BX29" i="40" s="1"/>
  <c r="AV29" i="40"/>
  <c r="BG29" i="40" s="1"/>
  <c r="BS29" i="40" s="1"/>
  <c r="AT29" i="40"/>
  <c r="BE29" i="40" s="1"/>
  <c r="BQ29" i="40" s="1"/>
  <c r="BA30" i="40"/>
  <c r="BL30" i="40" s="1"/>
  <c r="BX30" i="40" s="1"/>
  <c r="AT30" i="40"/>
  <c r="BE30" i="40" s="1"/>
  <c r="BQ30" i="40" s="1"/>
  <c r="AQ30" i="40"/>
  <c r="BB30" i="40" s="1"/>
  <c r="AX30" i="40"/>
  <c r="BI30" i="40" s="1"/>
  <c r="BU30" i="40" s="1"/>
  <c r="AS30" i="40"/>
  <c r="BD30" i="40" s="1"/>
  <c r="BP30" i="40" s="1"/>
  <c r="AZ30" i="40"/>
  <c r="BK30" i="40" s="1"/>
  <c r="BW30" i="40" s="1"/>
  <c r="AW30" i="40"/>
  <c r="BH30" i="40" s="1"/>
  <c r="BT30" i="40" s="1"/>
  <c r="AU30" i="40"/>
  <c r="BF30" i="40" s="1"/>
  <c r="BR30" i="40" s="1"/>
  <c r="AR30" i="40"/>
  <c r="BC30" i="40" s="1"/>
  <c r="BO30" i="40" s="1"/>
  <c r="AY30" i="40"/>
  <c r="BJ30" i="40" s="1"/>
  <c r="BV30" i="40" s="1"/>
  <c r="AV30" i="40"/>
  <c r="BG30" i="40" s="1"/>
  <c r="BS30" i="40" s="1"/>
  <c r="AT31" i="40"/>
  <c r="BE31" i="40" s="1"/>
  <c r="BQ31" i="40" s="1"/>
  <c r="AQ31" i="40"/>
  <c r="BB31" i="40" s="1"/>
  <c r="AW31" i="40"/>
  <c r="BH31" i="40" s="1"/>
  <c r="BT31" i="40" s="1"/>
  <c r="BA31" i="40"/>
  <c r="BL31" i="40" s="1"/>
  <c r="BX31" i="40" s="1"/>
  <c r="AZ31" i="40"/>
  <c r="BK31" i="40" s="1"/>
  <c r="BW31" i="40" s="1"/>
  <c r="AS31" i="40"/>
  <c r="BD31" i="40" s="1"/>
  <c r="BP31" i="40" s="1"/>
  <c r="AV31" i="40"/>
  <c r="BG31" i="40" s="1"/>
  <c r="BS31" i="40" s="1"/>
  <c r="AU31" i="40"/>
  <c r="BF31" i="40" s="1"/>
  <c r="BR31" i="40" s="1"/>
  <c r="AX31" i="40"/>
  <c r="BI31" i="40" s="1"/>
  <c r="BU31" i="40" s="1"/>
  <c r="AR31" i="40"/>
  <c r="BC31" i="40" s="1"/>
  <c r="BO31" i="40" s="1"/>
  <c r="AY31" i="40"/>
  <c r="BJ31" i="40" s="1"/>
  <c r="BV31" i="40" s="1"/>
  <c r="BA32" i="40"/>
  <c r="BL32" i="40" s="1"/>
  <c r="BX32" i="40" s="1"/>
  <c r="AQ32" i="40"/>
  <c r="BB32" i="40" s="1"/>
  <c r="AW32" i="40"/>
  <c r="BH32" i="40" s="1"/>
  <c r="BT32" i="40" s="1"/>
  <c r="AY32" i="40"/>
  <c r="BJ32" i="40" s="1"/>
  <c r="BV32" i="40" s="1"/>
  <c r="AS32" i="40"/>
  <c r="BD32" i="40" s="1"/>
  <c r="BP32" i="40" s="1"/>
  <c r="AX32" i="40"/>
  <c r="BI32" i="40" s="1"/>
  <c r="BU32" i="40" s="1"/>
  <c r="AT32" i="40"/>
  <c r="BE32" i="40" s="1"/>
  <c r="BQ32" i="40" s="1"/>
  <c r="AU32" i="40"/>
  <c r="BF32" i="40" s="1"/>
  <c r="BR32" i="40" s="1"/>
  <c r="AV32" i="40"/>
  <c r="BG32" i="40" s="1"/>
  <c r="BS32" i="40" s="1"/>
  <c r="AZ32" i="40"/>
  <c r="BK32" i="40" s="1"/>
  <c r="BW32" i="40" s="1"/>
  <c r="AR32" i="40"/>
  <c r="BC32" i="40" s="1"/>
  <c r="BO32" i="40" s="1"/>
  <c r="AZ33" i="40"/>
  <c r="BK33" i="40" s="1"/>
  <c r="BW33" i="40" s="1"/>
  <c r="AR33" i="40"/>
  <c r="BC33" i="40" s="1"/>
  <c r="BO33" i="40" s="1"/>
  <c r="AX33" i="40"/>
  <c r="BI33" i="40" s="1"/>
  <c r="BU33" i="40" s="1"/>
  <c r="AS33" i="40"/>
  <c r="BD33" i="40" s="1"/>
  <c r="BP33" i="40" s="1"/>
  <c r="AT33" i="40"/>
  <c r="BE33" i="40" s="1"/>
  <c r="BQ33" i="40" s="1"/>
  <c r="AY33" i="40"/>
  <c r="BJ33" i="40" s="1"/>
  <c r="BV33" i="40" s="1"/>
  <c r="AU33" i="40"/>
  <c r="BF33" i="40" s="1"/>
  <c r="BR33" i="40" s="1"/>
  <c r="AV33" i="40"/>
  <c r="BG33" i="40" s="1"/>
  <c r="BS33" i="40" s="1"/>
  <c r="BA33" i="40"/>
  <c r="BL33" i="40" s="1"/>
  <c r="BX33" i="40" s="1"/>
  <c r="AW33" i="40"/>
  <c r="BH33" i="40" s="1"/>
  <c r="BT33" i="40" s="1"/>
  <c r="AQ33" i="40"/>
  <c r="BB33" i="40" s="1"/>
  <c r="AV34" i="40"/>
  <c r="BG34" i="40" s="1"/>
  <c r="BS34" i="40" s="1"/>
  <c r="AV35" i="40"/>
  <c r="BG35" i="40" s="1"/>
  <c r="BS35" i="40" s="1"/>
  <c r="AU34" i="40"/>
  <c r="BF34" i="40" s="1"/>
  <c r="BR34" i="40" s="1"/>
  <c r="AS34" i="40"/>
  <c r="BD34" i="40" s="1"/>
  <c r="BP34" i="40" s="1"/>
  <c r="AT34" i="40"/>
  <c r="BE34" i="40" s="1"/>
  <c r="BQ34" i="40" s="1"/>
  <c r="BA35" i="40"/>
  <c r="BL35" i="40" s="1"/>
  <c r="BX35" i="40" s="1"/>
  <c r="AU35" i="40"/>
  <c r="BF35" i="40" s="1"/>
  <c r="BR35" i="40" s="1"/>
  <c r="AX34" i="40"/>
  <c r="BI34" i="40" s="1"/>
  <c r="BU34" i="40" s="1"/>
  <c r="BA34" i="40"/>
  <c r="BL34" i="40" s="1"/>
  <c r="BX34" i="40" s="1"/>
  <c r="AR35" i="40"/>
  <c r="BC35" i="40" s="1"/>
  <c r="BO35" i="40" s="1"/>
  <c r="AQ35" i="40"/>
  <c r="BB35" i="40" s="1"/>
  <c r="AW35" i="40"/>
  <c r="BH35" i="40" s="1"/>
  <c r="BT35" i="40" s="1"/>
  <c r="AY34" i="40"/>
  <c r="BJ34" i="40" s="1"/>
  <c r="BV34" i="40" s="1"/>
  <c r="AW34" i="40"/>
  <c r="BH34" i="40" s="1"/>
  <c r="BT34" i="40" s="1"/>
  <c r="AS35" i="40"/>
  <c r="BD35" i="40" s="1"/>
  <c r="BP35" i="40" s="1"/>
  <c r="AY35" i="40"/>
  <c r="BJ35" i="40" s="1"/>
  <c r="BV35" i="40" s="1"/>
  <c r="AZ34" i="40"/>
  <c r="BK34" i="40" s="1"/>
  <c r="BW34" i="40" s="1"/>
  <c r="AT35" i="40"/>
  <c r="BE35" i="40" s="1"/>
  <c r="BQ35" i="40" s="1"/>
  <c r="AQ34" i="40"/>
  <c r="BB34" i="40" s="1"/>
  <c r="AZ35" i="40"/>
  <c r="BK35" i="40" s="1"/>
  <c r="BW35" i="40" s="1"/>
  <c r="AR34" i="40"/>
  <c r="BC34" i="40" s="1"/>
  <c r="BO34" i="40" s="1"/>
  <c r="AX35" i="40"/>
  <c r="BI35" i="40" s="1"/>
  <c r="BU35" i="40" s="1"/>
  <c r="AW36" i="40"/>
  <c r="BH36" i="40" s="1"/>
  <c r="BT36" i="40" s="1"/>
  <c r="AU36" i="40"/>
  <c r="BF36" i="40" s="1"/>
  <c r="BR36" i="40" s="1"/>
  <c r="AR36" i="40"/>
  <c r="BC36" i="40" s="1"/>
  <c r="BO36" i="40" s="1"/>
  <c r="AX36" i="40"/>
  <c r="BI36" i="40" s="1"/>
  <c r="BU36" i="40" s="1"/>
  <c r="BA36" i="40"/>
  <c r="BL36" i="40" s="1"/>
  <c r="BX36" i="40" s="1"/>
  <c r="AQ36" i="40"/>
  <c r="BB36" i="40" s="1"/>
  <c r="AY36" i="40"/>
  <c r="BJ36" i="40" s="1"/>
  <c r="BV36" i="40" s="1"/>
  <c r="AV36" i="40"/>
  <c r="BG36" i="40" s="1"/>
  <c r="BS36" i="40" s="1"/>
  <c r="AT36" i="40"/>
  <c r="BE36" i="40" s="1"/>
  <c r="BQ36" i="40" s="1"/>
  <c r="AZ36" i="40"/>
  <c r="BK36" i="40" s="1"/>
  <c r="BW36" i="40" s="1"/>
  <c r="AS36" i="40"/>
  <c r="BD36" i="40" s="1"/>
  <c r="BP36" i="40" s="1"/>
  <c r="AZ37" i="40"/>
  <c r="BK37" i="40" s="1"/>
  <c r="BW37" i="40" s="1"/>
  <c r="AQ37" i="40"/>
  <c r="BB37" i="40" s="1"/>
  <c r="AR37" i="40"/>
  <c r="BC37" i="40" s="1"/>
  <c r="BO37" i="40" s="1"/>
  <c r="BA37" i="40"/>
  <c r="BL37" i="40" s="1"/>
  <c r="BX37" i="40" s="1"/>
  <c r="AS37" i="40"/>
  <c r="BD37" i="40" s="1"/>
  <c r="BP37" i="40" s="1"/>
  <c r="AY37" i="40"/>
  <c r="BJ37" i="40" s="1"/>
  <c r="BV37" i="40" s="1"/>
  <c r="AV37" i="40"/>
  <c r="BG37" i="40" s="1"/>
  <c r="BS37" i="40" s="1"/>
  <c r="AX37" i="40"/>
  <c r="BI37" i="40" s="1"/>
  <c r="BU37" i="40" s="1"/>
  <c r="AW37" i="40"/>
  <c r="BH37" i="40" s="1"/>
  <c r="BT37" i="40" s="1"/>
  <c r="AT37" i="40"/>
  <c r="BE37" i="40" s="1"/>
  <c r="BQ37" i="40" s="1"/>
  <c r="AU37" i="40"/>
  <c r="BF37" i="40" s="1"/>
  <c r="BR37" i="40" s="1"/>
  <c r="BA38" i="40"/>
  <c r="BL38" i="40" s="1"/>
  <c r="BX38" i="40" s="1"/>
  <c r="AY38" i="40"/>
  <c r="BJ38" i="40" s="1"/>
  <c r="BV38" i="40" s="1"/>
  <c r="AR38" i="40"/>
  <c r="BC38" i="40" s="1"/>
  <c r="BO38" i="40" s="1"/>
  <c r="AZ38" i="40"/>
  <c r="BK38" i="40" s="1"/>
  <c r="BW38" i="40" s="1"/>
  <c r="AX38" i="40"/>
  <c r="BI38" i="40" s="1"/>
  <c r="BU38" i="40" s="1"/>
  <c r="AW38" i="40"/>
  <c r="BH38" i="40" s="1"/>
  <c r="BT38" i="40" s="1"/>
  <c r="AQ38" i="40"/>
  <c r="BB38" i="40" s="1"/>
  <c r="AS38" i="40"/>
  <c r="BD38" i="40" s="1"/>
  <c r="BP38" i="40" s="1"/>
  <c r="AU38" i="40"/>
  <c r="BF38" i="40" s="1"/>
  <c r="BR38" i="40" s="1"/>
  <c r="AT38" i="40"/>
  <c r="BE38" i="40" s="1"/>
  <c r="BQ38" i="40" s="1"/>
  <c r="AV38" i="40"/>
  <c r="BG38" i="40" s="1"/>
  <c r="BS38" i="40" s="1"/>
  <c r="AR39" i="40"/>
  <c r="BC39" i="40" s="1"/>
  <c r="BO39" i="40" s="1"/>
  <c r="AQ39" i="40"/>
  <c r="BB39" i="40" s="1"/>
  <c r="AZ39" i="40"/>
  <c r="BK39" i="40" s="1"/>
  <c r="BW39" i="40" s="1"/>
  <c r="AW39" i="40"/>
  <c r="BH39" i="40" s="1"/>
  <c r="BT39" i="40" s="1"/>
  <c r="AU39" i="40"/>
  <c r="BF39" i="40" s="1"/>
  <c r="BR39" i="40" s="1"/>
  <c r="AT39" i="40"/>
  <c r="BE39" i="40" s="1"/>
  <c r="BQ39" i="40" s="1"/>
  <c r="AV39" i="40"/>
  <c r="BG39" i="40" s="1"/>
  <c r="BS39" i="40" s="1"/>
  <c r="AY39" i="40"/>
  <c r="BJ39" i="40" s="1"/>
  <c r="BV39" i="40" s="1"/>
  <c r="BA39" i="40"/>
  <c r="BL39" i="40" s="1"/>
  <c r="BX39" i="40" s="1"/>
  <c r="AX39" i="40"/>
  <c r="BI39" i="40" s="1"/>
  <c r="BU39" i="40" s="1"/>
  <c r="AS39" i="40"/>
  <c r="BD39" i="40" s="1"/>
  <c r="BP39" i="40" s="1"/>
  <c r="AR40" i="40"/>
  <c r="BC40" i="40" s="1"/>
  <c r="BO40" i="40" s="1"/>
  <c r="AU40" i="40"/>
  <c r="BF40" i="40" s="1"/>
  <c r="BR40" i="40" s="1"/>
  <c r="AY40" i="40"/>
  <c r="BJ40" i="40" s="1"/>
  <c r="BV40" i="40" s="1"/>
  <c r="AT40" i="40"/>
  <c r="BE40" i="40" s="1"/>
  <c r="BQ40" i="40" s="1"/>
  <c r="AX40" i="40"/>
  <c r="BI40" i="40" s="1"/>
  <c r="BU40" i="40" s="1"/>
  <c r="AS40" i="40"/>
  <c r="BD40" i="40" s="1"/>
  <c r="BP40" i="40" s="1"/>
  <c r="AW40" i="40"/>
  <c r="BH40" i="40" s="1"/>
  <c r="BT40" i="40" s="1"/>
  <c r="BA40" i="40"/>
  <c r="BL40" i="40" s="1"/>
  <c r="BX40" i="40" s="1"/>
  <c r="AV40" i="40"/>
  <c r="BG40" i="40" s="1"/>
  <c r="BS40" i="40" s="1"/>
  <c r="AZ40" i="40"/>
  <c r="BK40" i="40" s="1"/>
  <c r="BW40" i="40" s="1"/>
  <c r="AQ40" i="40"/>
  <c r="BB40" i="40" s="1"/>
  <c r="AU41" i="40"/>
  <c r="BF41" i="40" s="1"/>
  <c r="BR41" i="40" s="1"/>
  <c r="BA41" i="40"/>
  <c r="BL41" i="40" s="1"/>
  <c r="BX41" i="40" s="1"/>
  <c r="AQ41" i="40"/>
  <c r="BB41" i="40" s="1"/>
  <c r="AR41" i="40"/>
  <c r="BC41" i="40" s="1"/>
  <c r="BO41" i="40" s="1"/>
  <c r="AS41" i="40"/>
  <c r="BD41" i="40" s="1"/>
  <c r="BP41" i="40" s="1"/>
  <c r="AY41" i="40"/>
  <c r="BJ41" i="40" s="1"/>
  <c r="BV41" i="40" s="1"/>
  <c r="AX41" i="40"/>
  <c r="BI41" i="40" s="1"/>
  <c r="BU41" i="40" s="1"/>
  <c r="AV41" i="40"/>
  <c r="BG41" i="40" s="1"/>
  <c r="BS41" i="40" s="1"/>
  <c r="AW41" i="40"/>
  <c r="BH41" i="40" s="1"/>
  <c r="BT41" i="40" s="1"/>
  <c r="AT41" i="40"/>
  <c r="BE41" i="40" s="1"/>
  <c r="BQ41" i="40" s="1"/>
  <c r="AZ41" i="40"/>
  <c r="BK41" i="40" s="1"/>
  <c r="BW41" i="40" s="1"/>
  <c r="AS42" i="40"/>
  <c r="BT41" i="39"/>
  <c r="AE43" i="39"/>
  <c r="X43" i="39"/>
  <c r="BZ41" i="39"/>
  <c r="BX41" i="39"/>
  <c r="AB43" i="42"/>
  <c r="AE43" i="42" s="1"/>
  <c r="AG43" i="42" s="1"/>
  <c r="AH43" i="42" s="1"/>
  <c r="AA44" i="42"/>
  <c r="AB44" i="42"/>
  <c r="AC44" i="42"/>
  <c r="AD44" i="42" s="1"/>
  <c r="AF44" i="42" s="1"/>
  <c r="W45" i="42"/>
  <c r="X45" i="42" s="1"/>
  <c r="Z45" i="42"/>
  <c r="Y46" i="42" s="1"/>
  <c r="AD45" i="41"/>
  <c r="Y47" i="41"/>
  <c r="X48" i="41" s="1"/>
  <c r="Z46" i="41"/>
  <c r="AD44" i="41"/>
  <c r="BG42" i="40"/>
  <c r="BS42" i="40" s="1"/>
  <c r="BC42" i="40"/>
  <c r="BO42" i="40" s="1"/>
  <c r="BD42" i="40"/>
  <c r="BP42" i="40" s="1"/>
  <c r="BL42" i="40"/>
  <c r="BX42" i="40" s="1"/>
  <c r="BB42" i="40"/>
  <c r="BN42" i="40" s="1"/>
  <c r="BR42" i="40"/>
  <c r="BW42" i="40"/>
  <c r="BQ42" i="40"/>
  <c r="BN41" i="40"/>
  <c r="Z45" i="40"/>
  <c r="AO44" i="40"/>
  <c r="CI44" i="40"/>
  <c r="CK44" i="40" s="1"/>
  <c r="CL44" i="40" s="1"/>
  <c r="AP44" i="40"/>
  <c r="Y46" i="40"/>
  <c r="X47" i="40" s="1"/>
  <c r="CI43" i="40"/>
  <c r="CK43" i="40" s="1"/>
  <c r="CL43" i="40" s="1"/>
  <c r="AP43" i="40"/>
  <c r="AO43" i="40"/>
  <c r="AG44" i="40"/>
  <c r="AN44" i="40"/>
  <c r="AF44" i="40"/>
  <c r="AM44" i="40"/>
  <c r="AE44" i="40"/>
  <c r="AL44" i="40"/>
  <c r="AD44" i="40"/>
  <c r="AK44" i="40"/>
  <c r="AJ44" i="40"/>
  <c r="AH44" i="40"/>
  <c r="AI44" i="40"/>
  <c r="AW44" i="40"/>
  <c r="AU44" i="40"/>
  <c r="AT44" i="40"/>
  <c r="BE44" i="40" s="1"/>
  <c r="AZ44" i="40"/>
  <c r="AR44" i="40"/>
  <c r="AS44" i="40"/>
  <c r="AX44" i="40"/>
  <c r="AY44" i="40"/>
  <c r="AV44" i="40"/>
  <c r="AQ44" i="40"/>
  <c r="BA44" i="40"/>
  <c r="BL44" i="40" s="1"/>
  <c r="AM43" i="40"/>
  <c r="AE43" i="40"/>
  <c r="AL43" i="40"/>
  <c r="AD43" i="40"/>
  <c r="AK43" i="40"/>
  <c r="AJ43" i="40"/>
  <c r="AI43" i="40"/>
  <c r="AH43" i="40"/>
  <c r="AN43" i="40"/>
  <c r="AF43" i="40"/>
  <c r="AG43" i="40"/>
  <c r="AY43" i="40"/>
  <c r="AV43" i="40"/>
  <c r="AQ43" i="40"/>
  <c r="AU43" i="40"/>
  <c r="BF43" i="40" s="1"/>
  <c r="BA43" i="40"/>
  <c r="BL43" i="40" s="1"/>
  <c r="AS43" i="40"/>
  <c r="BD43" i="40" s="1"/>
  <c r="AZ43" i="40"/>
  <c r="BK43" i="40" s="1"/>
  <c r="AR43" i="40"/>
  <c r="AX43" i="40"/>
  <c r="AT43" i="40"/>
  <c r="AW43" i="40"/>
  <c r="BH43" i="40" s="1"/>
  <c r="BH42" i="40"/>
  <c r="BT42" i="40" s="1"/>
  <c r="CL42" i="40"/>
  <c r="AR42" i="39"/>
  <c r="BP41" i="39"/>
  <c r="AK42" i="39"/>
  <c r="AF42" i="39"/>
  <c r="AL42" i="39"/>
  <c r="AG42" i="39"/>
  <c r="AO42" i="39"/>
  <c r="AQ42" i="39"/>
  <c r="AH42" i="39"/>
  <c r="AP42" i="39"/>
  <c r="AS42" i="39"/>
  <c r="BA42" i="39"/>
  <c r="AI42" i="39"/>
  <c r="BB42" i="39"/>
  <c r="AN42" i="39"/>
  <c r="AZ42" i="39"/>
  <c r="BK42" i="39" s="1"/>
  <c r="AT42" i="39"/>
  <c r="AV42" i="39"/>
  <c r="BC42" i="39"/>
  <c r="AU42" i="39"/>
  <c r="AW42" i="39"/>
  <c r="AJ42" i="39"/>
  <c r="AX42" i="39"/>
  <c r="AM42" i="39"/>
  <c r="AY42" i="39"/>
  <c r="CJ42" i="39"/>
  <c r="CL42" i="39" s="1"/>
  <c r="CK42" i="39"/>
  <c r="CM42" i="39" s="1"/>
  <c r="AB44" i="39"/>
  <c r="AA45" i="39"/>
  <c r="Z46" i="39" s="1"/>
  <c r="AD43" i="39"/>
  <c r="AC43" i="39"/>
  <c r="AJ172" i="31"/>
  <c r="AK195" i="31"/>
  <c r="AJ195" i="31" s="1"/>
  <c r="AK173" i="31"/>
  <c r="AL174" i="31"/>
  <c r="AG79" i="31"/>
  <c r="AF80" i="31" s="1"/>
  <c r="AG85" i="31"/>
  <c r="AF86" i="31" s="1"/>
  <c r="AG137" i="31"/>
  <c r="AF138" i="31" s="1"/>
  <c r="AG131" i="31"/>
  <c r="AF132" i="31" s="1"/>
  <c r="I53" i="39"/>
  <c r="C31" i="42"/>
  <c r="C31" i="41"/>
  <c r="D54" i="38"/>
  <c r="Z47" i="41" l="1"/>
  <c r="BN36" i="40"/>
  <c r="BY36" i="40" s="1"/>
  <c r="CW36" i="40" s="1"/>
  <c r="BM36" i="40"/>
  <c r="CV36" i="40" s="1"/>
  <c r="BN32" i="40"/>
  <c r="BY32" i="40" s="1"/>
  <c r="CW32" i="40" s="1"/>
  <c r="BM32" i="40"/>
  <c r="CV32" i="40" s="1"/>
  <c r="BN26" i="40"/>
  <c r="BY26" i="40" s="1"/>
  <c r="CW26" i="40" s="1"/>
  <c r="BM26" i="40"/>
  <c r="CV26" i="40" s="1"/>
  <c r="BM25" i="40"/>
  <c r="CV25" i="40" s="1"/>
  <c r="BN25" i="40"/>
  <c r="BY25" i="40" s="1"/>
  <c r="CW25" i="40" s="1"/>
  <c r="BN21" i="40"/>
  <c r="BY21" i="40" s="1"/>
  <c r="CW21" i="40" s="1"/>
  <c r="BM21" i="40"/>
  <c r="CV21" i="40" s="1"/>
  <c r="BO36" i="39"/>
  <c r="CX36" i="39" s="1"/>
  <c r="BP36" i="39"/>
  <c r="CA36" i="39" s="1"/>
  <c r="CY36" i="39" s="1"/>
  <c r="BP34" i="39"/>
  <c r="CA34" i="39" s="1"/>
  <c r="CY34" i="39" s="1"/>
  <c r="BO34" i="39"/>
  <c r="CX34" i="39" s="1"/>
  <c r="BP32" i="39"/>
  <c r="CA32" i="39" s="1"/>
  <c r="CY32" i="39" s="1"/>
  <c r="BO32" i="39"/>
  <c r="CX32" i="39" s="1"/>
  <c r="BO28" i="39"/>
  <c r="CX28" i="39" s="1"/>
  <c r="BP28" i="39"/>
  <c r="CA28" i="39" s="1"/>
  <c r="CY28" i="39" s="1"/>
  <c r="BM40" i="40"/>
  <c r="CV40" i="40" s="1"/>
  <c r="BN40" i="40"/>
  <c r="BY40" i="40" s="1"/>
  <c r="CW40" i="40" s="1"/>
  <c r="BN38" i="40"/>
  <c r="BY38" i="40" s="1"/>
  <c r="CW38" i="40" s="1"/>
  <c r="BM38" i="40"/>
  <c r="CV38" i="40" s="1"/>
  <c r="BN37" i="40"/>
  <c r="BY37" i="40" s="1"/>
  <c r="CW37" i="40" s="1"/>
  <c r="BM37" i="40"/>
  <c r="CV37" i="40" s="1"/>
  <c r="BM34" i="40"/>
  <c r="CV34" i="40" s="1"/>
  <c r="BN34" i="40"/>
  <c r="BY34" i="40" s="1"/>
  <c r="CW34" i="40" s="1"/>
  <c r="BM35" i="40"/>
  <c r="CV35" i="40" s="1"/>
  <c r="BN35" i="40"/>
  <c r="BY35" i="40" s="1"/>
  <c r="CW35" i="40" s="1"/>
  <c r="AO47" i="38"/>
  <c r="AQ47" i="38" s="1"/>
  <c r="AO30" i="38"/>
  <c r="AQ30" i="38" s="1"/>
  <c r="AO38" i="38"/>
  <c r="AQ38" i="38" s="1"/>
  <c r="AO35" i="38"/>
  <c r="AQ35" i="38" s="1"/>
  <c r="AO26" i="38"/>
  <c r="AQ26" i="38" s="1"/>
  <c r="AO20" i="38"/>
  <c r="AO31" i="38"/>
  <c r="AQ31" i="38" s="1"/>
  <c r="AO37" i="38"/>
  <c r="AQ37" i="38" s="1"/>
  <c r="AO36" i="38"/>
  <c r="AQ36" i="38" s="1"/>
  <c r="AO39" i="38"/>
  <c r="AQ39" i="38" s="1"/>
  <c r="AO32" i="38"/>
  <c r="AQ32" i="38" s="1"/>
  <c r="AO25" i="38"/>
  <c r="AQ25" i="38" s="1"/>
  <c r="AO22" i="38"/>
  <c r="AQ22" i="38" s="1"/>
  <c r="AO23" i="38"/>
  <c r="AQ23" i="38" s="1"/>
  <c r="AP20" i="38"/>
  <c r="AO40" i="38"/>
  <c r="AQ40" i="38" s="1"/>
  <c r="AP40" i="38"/>
  <c r="AR40" i="38" s="1"/>
  <c r="AO21" i="38"/>
  <c r="AQ21" i="38" s="1"/>
  <c r="AP41" i="38"/>
  <c r="AR41" i="38" s="1"/>
  <c r="AP31" i="38"/>
  <c r="AR31" i="38" s="1"/>
  <c r="AO44" i="38"/>
  <c r="AQ44" i="38" s="1"/>
  <c r="AO27" i="38"/>
  <c r="AQ27" i="38" s="1"/>
  <c r="AO29" i="38"/>
  <c r="AQ29" i="38" s="1"/>
  <c r="AO46" i="38"/>
  <c r="AQ46" i="38" s="1"/>
  <c r="AO33" i="38"/>
  <c r="AQ33" i="38" s="1"/>
  <c r="AO24" i="38"/>
  <c r="AQ24" i="38" s="1"/>
  <c r="AO49" i="38"/>
  <c r="AQ49" i="38" s="1"/>
  <c r="AO48" i="38"/>
  <c r="AQ48" i="38" s="1"/>
  <c r="AO34" i="38"/>
  <c r="AQ34" i="38" s="1"/>
  <c r="AO42" i="38"/>
  <c r="AQ42" i="38" s="1"/>
  <c r="AO43" i="38"/>
  <c r="AQ43" i="38" s="1"/>
  <c r="AO45" i="38"/>
  <c r="AQ45" i="38" s="1"/>
  <c r="AO28" i="38"/>
  <c r="AQ28" i="38" s="1"/>
  <c r="AO41" i="38"/>
  <c r="AQ41" i="38" s="1"/>
  <c r="AP36" i="38"/>
  <c r="AR36" i="38" s="1"/>
  <c r="AP37" i="38"/>
  <c r="AR37" i="38" s="1"/>
  <c r="AP34" i="38"/>
  <c r="AR34" i="38" s="1"/>
  <c r="AP46" i="38"/>
  <c r="AR46" i="38" s="1"/>
  <c r="AP21" i="38"/>
  <c r="AR21" i="38" s="1"/>
  <c r="AP35" i="38"/>
  <c r="AR35" i="38" s="1"/>
  <c r="AP22" i="38"/>
  <c r="AR22" i="38" s="1"/>
  <c r="AP25" i="38"/>
  <c r="AR25" i="38" s="1"/>
  <c r="AP42" i="38"/>
  <c r="AR42" i="38" s="1"/>
  <c r="AP48" i="38"/>
  <c r="AR48" i="38" s="1"/>
  <c r="AP30" i="38"/>
  <c r="AR30" i="38" s="1"/>
  <c r="AP44" i="38"/>
  <c r="AR44" i="38" s="1"/>
  <c r="AP43" i="38"/>
  <c r="AR43" i="38" s="1"/>
  <c r="AP38" i="38"/>
  <c r="AR38" i="38" s="1"/>
  <c r="AP27" i="38"/>
  <c r="AR27" i="38" s="1"/>
  <c r="AP32" i="38"/>
  <c r="AR32" i="38" s="1"/>
  <c r="AP24" i="38"/>
  <c r="AR24" i="38" s="1"/>
  <c r="AP45" i="38"/>
  <c r="AR45" i="38" s="1"/>
  <c r="AP47" i="38"/>
  <c r="AR47" i="38" s="1"/>
  <c r="AP49" i="38"/>
  <c r="AR49" i="38" s="1"/>
  <c r="AP26" i="38"/>
  <c r="AR26" i="38" s="1"/>
  <c r="AP29" i="38"/>
  <c r="AR29" i="38" s="1"/>
  <c r="AP28" i="38"/>
  <c r="AR28" i="38" s="1"/>
  <c r="AP23" i="38"/>
  <c r="AR23" i="38" s="1"/>
  <c r="AP33" i="38"/>
  <c r="AR33" i="38" s="1"/>
  <c r="AP39" i="38"/>
  <c r="AR39" i="38" s="1"/>
  <c r="BO40" i="39"/>
  <c r="CX40" i="39" s="1"/>
  <c r="BP40" i="39"/>
  <c r="CA40" i="39" s="1"/>
  <c r="CY40" i="39" s="1"/>
  <c r="BP35" i="39"/>
  <c r="CA35" i="39" s="1"/>
  <c r="CY35" i="39" s="1"/>
  <c r="BO35" i="39"/>
  <c r="CX35" i="39" s="1"/>
  <c r="BP31" i="39"/>
  <c r="CA31" i="39" s="1"/>
  <c r="CY31" i="39" s="1"/>
  <c r="BO31" i="39"/>
  <c r="CX31" i="39" s="1"/>
  <c r="BP22" i="39"/>
  <c r="CA22" i="39" s="1"/>
  <c r="CY22" i="39" s="1"/>
  <c r="BO22" i="39"/>
  <c r="CX22" i="39" s="1"/>
  <c r="BO38" i="39"/>
  <c r="CX38" i="39" s="1"/>
  <c r="BP38" i="39"/>
  <c r="CA38" i="39" s="1"/>
  <c r="CY38" i="39" s="1"/>
  <c r="BM29" i="40"/>
  <c r="CV29" i="40" s="1"/>
  <c r="BN29" i="40"/>
  <c r="BY29" i="40" s="1"/>
  <c r="CW29" i="40" s="1"/>
  <c r="BN23" i="40"/>
  <c r="BY23" i="40" s="1"/>
  <c r="CW23" i="40" s="1"/>
  <c r="BM23" i="40"/>
  <c r="CV23" i="40" s="1"/>
  <c r="BP23" i="39"/>
  <c r="CA23" i="39" s="1"/>
  <c r="CY23" i="39" s="1"/>
  <c r="BO23" i="39"/>
  <c r="CX23" i="39" s="1"/>
  <c r="CA41" i="39"/>
  <c r="CY41" i="39" s="1"/>
  <c r="BM41" i="40"/>
  <c r="CV41" i="40" s="1"/>
  <c r="BM39" i="40"/>
  <c r="CV39" i="40" s="1"/>
  <c r="BN39" i="40"/>
  <c r="BY39" i="40" s="1"/>
  <c r="CW39" i="40" s="1"/>
  <c r="BN31" i="40"/>
  <c r="BY31" i="40" s="1"/>
  <c r="CW31" i="40" s="1"/>
  <c r="BM31" i="40"/>
  <c r="CV31" i="40" s="1"/>
  <c r="BN27" i="40"/>
  <c r="BY27" i="40" s="1"/>
  <c r="CW27" i="40" s="1"/>
  <c r="BM27" i="40"/>
  <c r="CV27" i="40" s="1"/>
  <c r="BO30" i="39"/>
  <c r="CX30" i="39" s="1"/>
  <c r="BP30" i="39"/>
  <c r="CA30" i="39" s="1"/>
  <c r="CY30" i="39" s="1"/>
  <c r="BP25" i="39"/>
  <c r="CA25" i="39" s="1"/>
  <c r="CY25" i="39" s="1"/>
  <c r="BO25" i="39"/>
  <c r="CX25" i="39" s="1"/>
  <c r="BP20" i="39"/>
  <c r="BO20" i="39"/>
  <c r="CX20" i="39" s="1"/>
  <c r="BO41" i="39"/>
  <c r="CX41" i="39" s="1"/>
  <c r="BY41" i="40"/>
  <c r="CW41" i="40" s="1"/>
  <c r="BN33" i="40"/>
  <c r="BY33" i="40" s="1"/>
  <c r="CW33" i="40" s="1"/>
  <c r="BM33" i="40"/>
  <c r="CV33" i="40" s="1"/>
  <c r="D53" i="41"/>
  <c r="AF21" i="41"/>
  <c r="AG21" i="41" s="1"/>
  <c r="AF31" i="41"/>
  <c r="AG31" i="41" s="1"/>
  <c r="AF42" i="41"/>
  <c r="AG42" i="41" s="1"/>
  <c r="AF35" i="41"/>
  <c r="AG35" i="41" s="1"/>
  <c r="AF39" i="41"/>
  <c r="AG39" i="41" s="1"/>
  <c r="AF28" i="41"/>
  <c r="AG28" i="41" s="1"/>
  <c r="AF37" i="41"/>
  <c r="AG37" i="41" s="1"/>
  <c r="AF25" i="41"/>
  <c r="AG25" i="41" s="1"/>
  <c r="AF36" i="41"/>
  <c r="AG36" i="41" s="1"/>
  <c r="AF40" i="41"/>
  <c r="AG40" i="41" s="1"/>
  <c r="AF45" i="41"/>
  <c r="AF24" i="41"/>
  <c r="AG24" i="41" s="1"/>
  <c r="AF33" i="41"/>
  <c r="AG33" i="41" s="1"/>
  <c r="AF44" i="41"/>
  <c r="AG44" i="41" s="1"/>
  <c r="AF22" i="41"/>
  <c r="AG22" i="41" s="1"/>
  <c r="AF43" i="41"/>
  <c r="AG43" i="41" s="1"/>
  <c r="AF26" i="41"/>
  <c r="AG26" i="41" s="1"/>
  <c r="AF30" i="41"/>
  <c r="AG30" i="41" s="1"/>
  <c r="AF32" i="41"/>
  <c r="AG32" i="41" s="1"/>
  <c r="AF41" i="41"/>
  <c r="AG41" i="41" s="1"/>
  <c r="AF38" i="41"/>
  <c r="AG38" i="41" s="1"/>
  <c r="AO12" i="41"/>
  <c r="AF23" i="41"/>
  <c r="AG23" i="41" s="1"/>
  <c r="AF34" i="41"/>
  <c r="AG34" i="41" s="1"/>
  <c r="AF20" i="41"/>
  <c r="AG20" i="41" s="1"/>
  <c r="AF29" i="41"/>
  <c r="AG29" i="41" s="1"/>
  <c r="AF27" i="41"/>
  <c r="AG27" i="41" s="1"/>
  <c r="BP33" i="39"/>
  <c r="CA33" i="39" s="1"/>
  <c r="CY33" i="39" s="1"/>
  <c r="BO33" i="39"/>
  <c r="CX33" i="39" s="1"/>
  <c r="BP21" i="39"/>
  <c r="CA21" i="39" s="1"/>
  <c r="CY21" i="39" s="1"/>
  <c r="BO21" i="39"/>
  <c r="CX21" i="39" s="1"/>
  <c r="BZ20" i="39"/>
  <c r="CA20" i="39" s="1"/>
  <c r="CY20" i="39" s="1"/>
  <c r="BN30" i="40"/>
  <c r="BY30" i="40" s="1"/>
  <c r="CW30" i="40" s="1"/>
  <c r="BM30" i="40"/>
  <c r="CV30" i="40" s="1"/>
  <c r="BN22" i="40"/>
  <c r="BY22" i="40" s="1"/>
  <c r="CW22" i="40" s="1"/>
  <c r="BM22" i="40"/>
  <c r="CV22" i="40" s="1"/>
  <c r="H54" i="42"/>
  <c r="AP12" i="42"/>
  <c r="AG20" i="42"/>
  <c r="AH20" i="42" s="1"/>
  <c r="AG50" i="42"/>
  <c r="AH50" i="42" s="1"/>
  <c r="AG21" i="42"/>
  <c r="AH21" i="42" s="1"/>
  <c r="AG22" i="42"/>
  <c r="AH22" i="42" s="1"/>
  <c r="AG23" i="42"/>
  <c r="AH23" i="42" s="1"/>
  <c r="AG24" i="42"/>
  <c r="AH24" i="42" s="1"/>
  <c r="AG25" i="42"/>
  <c r="AH25" i="42" s="1"/>
  <c r="AG26" i="42"/>
  <c r="AH26" i="42" s="1"/>
  <c r="AG27" i="42"/>
  <c r="AH27" i="42" s="1"/>
  <c r="AG28" i="42"/>
  <c r="AH28" i="42" s="1"/>
  <c r="AG29" i="42"/>
  <c r="AH29" i="42" s="1"/>
  <c r="AG30" i="42"/>
  <c r="AH30" i="42" s="1"/>
  <c r="AG31" i="42"/>
  <c r="AH31" i="42" s="1"/>
  <c r="AG32" i="42"/>
  <c r="AH32" i="42" s="1"/>
  <c r="AG33" i="42"/>
  <c r="AH33" i="42" s="1"/>
  <c r="AG34" i="42"/>
  <c r="AH34" i="42" s="1"/>
  <c r="AG35" i="42"/>
  <c r="AH35" i="42" s="1"/>
  <c r="AG36" i="42"/>
  <c r="AH36" i="42" s="1"/>
  <c r="AG37" i="42"/>
  <c r="AH37" i="42" s="1"/>
  <c r="AG38" i="42"/>
  <c r="AH38" i="42" s="1"/>
  <c r="AG40" i="42"/>
  <c r="AH40" i="42" s="1"/>
  <c r="AG39" i="42"/>
  <c r="AH39" i="42" s="1"/>
  <c r="AG41" i="42"/>
  <c r="AH41" i="42" s="1"/>
  <c r="AG42" i="42"/>
  <c r="AH42" i="42" s="1"/>
  <c r="BO24" i="39"/>
  <c r="CX24" i="39" s="1"/>
  <c r="BP24" i="39"/>
  <c r="CA24" i="39" s="1"/>
  <c r="CY24" i="39" s="1"/>
  <c r="BN28" i="40"/>
  <c r="BY28" i="40" s="1"/>
  <c r="CW28" i="40" s="1"/>
  <c r="BM28" i="40"/>
  <c r="CV28" i="40" s="1"/>
  <c r="BN24" i="40"/>
  <c r="BY24" i="40" s="1"/>
  <c r="CW24" i="40" s="1"/>
  <c r="BM24" i="40"/>
  <c r="CV24" i="40" s="1"/>
  <c r="BN20" i="40"/>
  <c r="BY20" i="40" s="1"/>
  <c r="CW20" i="40" s="1"/>
  <c r="BM20" i="40"/>
  <c r="CV20" i="40" s="1"/>
  <c r="BP39" i="39"/>
  <c r="CA39" i="39" s="1"/>
  <c r="CY39" i="39" s="1"/>
  <c r="BO39" i="39"/>
  <c r="CX39" i="39" s="1"/>
  <c r="BP37" i="39"/>
  <c r="CA37" i="39" s="1"/>
  <c r="CY37" i="39" s="1"/>
  <c r="BO37" i="39"/>
  <c r="CX37" i="39" s="1"/>
  <c r="BO29" i="39"/>
  <c r="CX29" i="39" s="1"/>
  <c r="BP29" i="39"/>
  <c r="CA29" i="39" s="1"/>
  <c r="CY29" i="39" s="1"/>
  <c r="BP27" i="39"/>
  <c r="CA27" i="39" s="1"/>
  <c r="CY27" i="39" s="1"/>
  <c r="BO27" i="39"/>
  <c r="CX27" i="39" s="1"/>
  <c r="BP26" i="39"/>
  <c r="CA26" i="39" s="1"/>
  <c r="CY26" i="39" s="1"/>
  <c r="BO26" i="39"/>
  <c r="CX26" i="39" s="1"/>
  <c r="I57" i="39"/>
  <c r="AE44" i="39"/>
  <c r="X44" i="39"/>
  <c r="AA45" i="42"/>
  <c r="BG42" i="39"/>
  <c r="BS42" i="39" s="1"/>
  <c r="BJ42" i="39"/>
  <c r="BV42" i="39" s="1"/>
  <c r="BE42" i="39"/>
  <c r="BQ42" i="39" s="1"/>
  <c r="BI42" i="39"/>
  <c r="BU42" i="39" s="1"/>
  <c r="AB45" i="42"/>
  <c r="AC45" i="42"/>
  <c r="AD45" i="42" s="1"/>
  <c r="AF45" i="42" s="1"/>
  <c r="W46" i="42"/>
  <c r="X46" i="42" s="1"/>
  <c r="Z46" i="42"/>
  <c r="Y47" i="42" s="1"/>
  <c r="AE44" i="42"/>
  <c r="AG44" i="42" s="1"/>
  <c r="AH44" i="42" s="1"/>
  <c r="Y48" i="41"/>
  <c r="X49" i="41" s="1"/>
  <c r="AA47" i="41"/>
  <c r="AB47" i="41"/>
  <c r="AC47" i="41" s="1"/>
  <c r="AE47" i="41" s="1"/>
  <c r="AG45" i="41"/>
  <c r="AB46" i="41"/>
  <c r="AC46" i="41" s="1"/>
  <c r="AE46" i="41" s="1"/>
  <c r="AA46" i="41"/>
  <c r="BB43" i="40"/>
  <c r="BN43" i="40" s="1"/>
  <c r="BE43" i="40"/>
  <c r="BQ43" i="40" s="1"/>
  <c r="BG43" i="40"/>
  <c r="BS43" i="40" s="1"/>
  <c r="BX43" i="40"/>
  <c r="BJ43" i="40"/>
  <c r="BV43" i="40" s="1"/>
  <c r="BI43" i="40"/>
  <c r="BU43" i="40" s="1"/>
  <c r="BC43" i="40"/>
  <c r="BO43" i="40" s="1"/>
  <c r="BW43" i="40"/>
  <c r="BP43" i="40"/>
  <c r="BX44" i="40"/>
  <c r="BQ44" i="40"/>
  <c r="BT43" i="40"/>
  <c r="BB44" i="40"/>
  <c r="BF44" i="40"/>
  <c r="BR44" i="40" s="1"/>
  <c r="BH44" i="40"/>
  <c r="BT44" i="40" s="1"/>
  <c r="BJ44" i="40"/>
  <c r="BV44" i="40" s="1"/>
  <c r="Y47" i="40"/>
  <c r="X48" i="40" s="1"/>
  <c r="BI44" i="40"/>
  <c r="BU44" i="40" s="1"/>
  <c r="Z46" i="40"/>
  <c r="BG44" i="40"/>
  <c r="BS44" i="40" s="1"/>
  <c r="BD44" i="40"/>
  <c r="BP44" i="40" s="1"/>
  <c r="AB45" i="40"/>
  <c r="CH45" i="40" s="1"/>
  <c r="CJ45" i="40" s="1"/>
  <c r="AA45" i="40"/>
  <c r="AC45" i="40"/>
  <c r="BM42" i="40"/>
  <c r="CV42" i="40" s="1"/>
  <c r="BC44" i="40"/>
  <c r="BO44" i="40" s="1"/>
  <c r="BR43" i="40"/>
  <c r="BY42" i="40"/>
  <c r="CW42" i="40" s="1"/>
  <c r="BK44" i="40"/>
  <c r="BW44" i="40" s="1"/>
  <c r="AR43" i="39"/>
  <c r="BW42" i="39"/>
  <c r="BM42" i="39"/>
  <c r="BY42" i="39" s="1"/>
  <c r="BN42" i="39"/>
  <c r="BZ42" i="39" s="1"/>
  <c r="BD42" i="39"/>
  <c r="AQ43" i="39"/>
  <c r="AI43" i="39"/>
  <c r="AJ43" i="39"/>
  <c r="AF43" i="39"/>
  <c r="AS43" i="39"/>
  <c r="AM43" i="39"/>
  <c r="AN43" i="39"/>
  <c r="AK43" i="39"/>
  <c r="AZ43" i="39"/>
  <c r="BK43" i="39" s="1"/>
  <c r="AT43" i="39"/>
  <c r="AL43" i="39"/>
  <c r="BA43" i="39"/>
  <c r="AO43" i="39"/>
  <c r="BC43" i="39"/>
  <c r="AG43" i="39"/>
  <c r="AW43" i="39"/>
  <c r="AU43" i="39"/>
  <c r="BF43" i="39" s="1"/>
  <c r="AX43" i="39"/>
  <c r="BB43" i="39"/>
  <c r="AV43" i="39"/>
  <c r="AY43" i="39"/>
  <c r="AH43" i="39"/>
  <c r="AP43" i="39"/>
  <c r="BH42" i="39"/>
  <c r="BT42" i="39" s="1"/>
  <c r="BF42" i="39"/>
  <c r="BR42" i="39" s="1"/>
  <c r="BL42" i="39"/>
  <c r="BX42" i="39" s="1"/>
  <c r="CJ43" i="39"/>
  <c r="CL43" i="39" s="1"/>
  <c r="AB45" i="39"/>
  <c r="AA46" i="39"/>
  <c r="Z47" i="39" s="1"/>
  <c r="AD44" i="39"/>
  <c r="AC44" i="39"/>
  <c r="CN42" i="39"/>
  <c r="CK43" i="39"/>
  <c r="CM43" i="39" s="1"/>
  <c r="AJ173" i="31"/>
  <c r="AK196" i="31"/>
  <c r="AJ196" i="31" s="1"/>
  <c r="AK174" i="31"/>
  <c r="AL175" i="31"/>
  <c r="AG89" i="31"/>
  <c r="AG90" i="31" s="1"/>
  <c r="C98" i="31"/>
  <c r="C105" i="31" s="1"/>
  <c r="AT189" i="31" s="1"/>
  <c r="C153" i="31"/>
  <c r="C160" i="31" s="1"/>
  <c r="AT205" i="31" s="1"/>
  <c r="AG145" i="31"/>
  <c r="AG146" i="31" s="1"/>
  <c r="C150" i="31"/>
  <c r="C157" i="31" s="1"/>
  <c r="AT182" i="31" s="1"/>
  <c r="AH187" i="31" s="1"/>
  <c r="AG141" i="31"/>
  <c r="AG142" i="31" s="1"/>
  <c r="AG93" i="31"/>
  <c r="AG94" i="31" s="1"/>
  <c r="C101" i="31"/>
  <c r="C108" i="31" s="1"/>
  <c r="AT212" i="31" s="1"/>
  <c r="D52" i="41"/>
  <c r="H53" i="42"/>
  <c r="H56" i="42" l="1"/>
  <c r="AR20" i="38"/>
  <c r="AP51" i="38"/>
  <c r="F109" i="38" s="1"/>
  <c r="AO51" i="38"/>
  <c r="F108" i="38" s="1"/>
  <c r="AQ20" i="38"/>
  <c r="AE45" i="39"/>
  <c r="X45" i="39"/>
  <c r="AA46" i="42"/>
  <c r="AB46" i="42" s="1"/>
  <c r="W47" i="42"/>
  <c r="X47" i="42" s="1"/>
  <c r="Z47" i="42"/>
  <c r="Y48" i="42" s="1"/>
  <c r="AE45" i="42"/>
  <c r="AG45" i="42" s="1"/>
  <c r="AH45" i="42" s="1"/>
  <c r="AD47" i="41"/>
  <c r="AD46" i="41"/>
  <c r="AF46" i="41" s="1"/>
  <c r="Z48" i="41"/>
  <c r="Y49" i="41"/>
  <c r="Z49" i="41" s="1"/>
  <c r="BM43" i="40"/>
  <c r="CV43" i="40" s="1"/>
  <c r="BW43" i="39"/>
  <c r="AR44" i="39"/>
  <c r="AP45" i="40"/>
  <c r="AO45" i="40"/>
  <c r="CI45" i="40"/>
  <c r="CK45" i="40" s="1"/>
  <c r="Z47" i="40"/>
  <c r="AI45" i="40"/>
  <c r="AH45" i="40"/>
  <c r="AG45" i="40"/>
  <c r="AN45" i="40"/>
  <c r="AF45" i="40"/>
  <c r="AM45" i="40"/>
  <c r="AE45" i="40"/>
  <c r="AL45" i="40"/>
  <c r="AD45" i="40"/>
  <c r="AJ45" i="40"/>
  <c r="AK45" i="40"/>
  <c r="AQ45" i="40"/>
  <c r="AW45" i="40"/>
  <c r="AV45" i="40"/>
  <c r="BG45" i="40" s="1"/>
  <c r="AT45" i="40"/>
  <c r="BE45" i="40" s="1"/>
  <c r="BA45" i="40"/>
  <c r="BL45" i="40" s="1"/>
  <c r="BX45" i="40" s="1"/>
  <c r="AX45" i="40"/>
  <c r="BI45" i="40" s="1"/>
  <c r="AY45" i="40"/>
  <c r="AU45" i="40"/>
  <c r="AZ45" i="40"/>
  <c r="AR45" i="40"/>
  <c r="AS45" i="40"/>
  <c r="BD45" i="40" s="1"/>
  <c r="BP45" i="40" s="1"/>
  <c r="CL45" i="40"/>
  <c r="AA46" i="40"/>
  <c r="AB46" i="40"/>
  <c r="CH46" i="40" s="1"/>
  <c r="CJ46" i="40" s="1"/>
  <c r="AC46" i="40"/>
  <c r="BM44" i="40"/>
  <c r="CV44" i="40" s="1"/>
  <c r="BN44" i="40"/>
  <c r="BY44" i="40" s="1"/>
  <c r="CW44" i="40" s="1"/>
  <c r="Y48" i="40"/>
  <c r="X49" i="40" s="1"/>
  <c r="BY43" i="40"/>
  <c r="CW43" i="40" s="1"/>
  <c r="BH43" i="39"/>
  <c r="BT43" i="39" s="1"/>
  <c r="BR43" i="39"/>
  <c r="BP42" i="39"/>
  <c r="CA42" i="39" s="1"/>
  <c r="CY42" i="39" s="1"/>
  <c r="BO42" i="39"/>
  <c r="CX42" i="39" s="1"/>
  <c r="CN43" i="39"/>
  <c r="BN43" i="39"/>
  <c r="BZ43" i="39" s="1"/>
  <c r="BJ43" i="39"/>
  <c r="BV43" i="39" s="1"/>
  <c r="BD43" i="39"/>
  <c r="BL43" i="39"/>
  <c r="BX43" i="39" s="1"/>
  <c r="BM43" i="39"/>
  <c r="BY43" i="39" s="1"/>
  <c r="AG44" i="39"/>
  <c r="AO44" i="39"/>
  <c r="AH44" i="39"/>
  <c r="AP44" i="39"/>
  <c r="AK44" i="39"/>
  <c r="AS44" i="39"/>
  <c r="AL44" i="39"/>
  <c r="AF44" i="39"/>
  <c r="AQ44" i="39"/>
  <c r="AY44" i="39"/>
  <c r="AZ44" i="39"/>
  <c r="AT44" i="39"/>
  <c r="AW44" i="39"/>
  <c r="AI44" i="39"/>
  <c r="AX44" i="39"/>
  <c r="BC44" i="39"/>
  <c r="AJ44" i="39"/>
  <c r="BA44" i="39"/>
  <c r="AN44" i="39"/>
  <c r="AU44" i="39"/>
  <c r="AM44" i="39"/>
  <c r="BB44" i="39"/>
  <c r="AV44" i="39"/>
  <c r="BG43" i="39"/>
  <c r="BS43" i="39" s="1"/>
  <c r="BI43" i="39"/>
  <c r="BU43" i="39" s="1"/>
  <c r="BE43" i="39"/>
  <c r="BQ43" i="39" s="1"/>
  <c r="CJ44" i="39"/>
  <c r="CL44" i="39" s="1"/>
  <c r="CK44" i="39"/>
  <c r="CM44" i="39" s="1"/>
  <c r="AB46" i="39"/>
  <c r="AA47" i="39"/>
  <c r="Z48" i="39" s="1"/>
  <c r="AD45" i="39"/>
  <c r="AC45" i="39"/>
  <c r="AE200" i="31"/>
  <c r="AH209" i="31"/>
  <c r="AH210" i="31"/>
  <c r="AE203" i="31"/>
  <c r="AJ174" i="31"/>
  <c r="AK197" i="31"/>
  <c r="AJ197" i="31" s="1"/>
  <c r="AE177" i="31"/>
  <c r="AH186" i="31"/>
  <c r="AK175" i="31"/>
  <c r="AL176" i="31"/>
  <c r="AE180" i="31"/>
  <c r="AF47" i="41" l="1"/>
  <c r="AG47" i="41" s="1"/>
  <c r="BU45" i="40"/>
  <c r="AE46" i="39"/>
  <c r="X46" i="39"/>
  <c r="AA47" i="42"/>
  <c r="AC46" i="42"/>
  <c r="AD46" i="42" s="1"/>
  <c r="AF46" i="42" s="1"/>
  <c r="AR45" i="39"/>
  <c r="AB47" i="42"/>
  <c r="AC47" i="42"/>
  <c r="AD47" i="42" s="1"/>
  <c r="AF47" i="42" s="1"/>
  <c r="W48" i="42"/>
  <c r="X48" i="42" s="1"/>
  <c r="Z48" i="42"/>
  <c r="Y49" i="42" s="1"/>
  <c r="AB49" i="41"/>
  <c r="AC49" i="41" s="1"/>
  <c r="AA49" i="41"/>
  <c r="AG46" i="41"/>
  <c r="AB48" i="41"/>
  <c r="AC48" i="41" s="1"/>
  <c r="AE48" i="41" s="1"/>
  <c r="AA48" i="41"/>
  <c r="BJ45" i="40"/>
  <c r="BV45" i="40" s="1"/>
  <c r="BC45" i="40"/>
  <c r="BO45" i="40" s="1"/>
  <c r="BH45" i="40"/>
  <c r="BT45" i="40" s="1"/>
  <c r="BK45" i="40"/>
  <c r="BW45" i="40" s="1"/>
  <c r="BB45" i="40"/>
  <c r="BN45" i="40" s="1"/>
  <c r="BF45" i="40"/>
  <c r="BR45" i="40" s="1"/>
  <c r="AA47" i="40"/>
  <c r="AB47" i="40"/>
  <c r="CH47" i="40" s="1"/>
  <c r="CJ47" i="40" s="1"/>
  <c r="AC47" i="40"/>
  <c r="Z48" i="40"/>
  <c r="BQ45" i="40"/>
  <c r="AP46" i="40"/>
  <c r="AO46" i="40"/>
  <c r="CI46" i="40"/>
  <c r="CK46" i="40" s="1"/>
  <c r="Y49" i="40"/>
  <c r="Z49" i="40" s="1"/>
  <c r="BS45" i="40"/>
  <c r="AK46" i="40"/>
  <c r="AJ46" i="40"/>
  <c r="AI46" i="40"/>
  <c r="AH46" i="40"/>
  <c r="AG46" i="40"/>
  <c r="AN46" i="40"/>
  <c r="AF46" i="40"/>
  <c r="AL46" i="40"/>
  <c r="AD46" i="40"/>
  <c r="AM46" i="40"/>
  <c r="AE46" i="40"/>
  <c r="AX46" i="40"/>
  <c r="BI46" i="40" s="1"/>
  <c r="AV46" i="40"/>
  <c r="BG46" i="40" s="1"/>
  <c r="AQ46" i="40"/>
  <c r="BB46" i="40" s="1"/>
  <c r="AZ46" i="40"/>
  <c r="BK46" i="40" s="1"/>
  <c r="AU46" i="40"/>
  <c r="BF46" i="40" s="1"/>
  <c r="AR46" i="40"/>
  <c r="AW46" i="40"/>
  <c r="AT46" i="40"/>
  <c r="BA46" i="40"/>
  <c r="BL46" i="40" s="1"/>
  <c r="AS46" i="40"/>
  <c r="BD46" i="40" s="1"/>
  <c r="AY46" i="40"/>
  <c r="BJ46" i="40" s="1"/>
  <c r="BG44" i="39"/>
  <c r="BS44" i="39" s="1"/>
  <c r="BI44" i="39"/>
  <c r="BU44" i="39" s="1"/>
  <c r="BP43" i="39"/>
  <c r="CA43" i="39" s="1"/>
  <c r="CY43" i="39" s="1"/>
  <c r="BO43" i="39"/>
  <c r="CX43" i="39" s="1"/>
  <c r="CN44" i="39"/>
  <c r="BH44" i="39"/>
  <c r="BT44" i="39" s="1"/>
  <c r="BK44" i="39"/>
  <c r="BW44" i="39" s="1"/>
  <c r="BL44" i="39"/>
  <c r="BX44" i="39" s="1"/>
  <c r="BJ44" i="39"/>
  <c r="BV44" i="39" s="1"/>
  <c r="AS45" i="39"/>
  <c r="AQ45" i="39"/>
  <c r="AM45" i="39"/>
  <c r="AN45" i="39"/>
  <c r="AF45" i="39"/>
  <c r="AI45" i="39"/>
  <c r="AJ45" i="39"/>
  <c r="AG45" i="39"/>
  <c r="AX45" i="39"/>
  <c r="AK45" i="39"/>
  <c r="AH45" i="39"/>
  <c r="AY45" i="39"/>
  <c r="AL45" i="39"/>
  <c r="AU45" i="39"/>
  <c r="AO45" i="39"/>
  <c r="AV45" i="39"/>
  <c r="AT45" i="39"/>
  <c r="BA45" i="39"/>
  <c r="BL45" i="39" s="1"/>
  <c r="BB45" i="39"/>
  <c r="BM45" i="39" s="1"/>
  <c r="AP45" i="39"/>
  <c r="AW45" i="39"/>
  <c r="BC45" i="39"/>
  <c r="AZ45" i="39"/>
  <c r="BN44" i="39"/>
  <c r="BM44" i="39"/>
  <c r="BY44" i="39" s="1"/>
  <c r="BD44" i="39"/>
  <c r="BF44" i="39"/>
  <c r="BR44" i="39" s="1"/>
  <c r="BE44" i="39"/>
  <c r="BQ44" i="39" s="1"/>
  <c r="CJ45" i="39"/>
  <c r="CL45" i="39" s="1"/>
  <c r="AB47" i="39"/>
  <c r="AC46" i="39"/>
  <c r="AD46" i="39"/>
  <c r="CK45" i="39"/>
  <c r="CM45" i="39" s="1"/>
  <c r="AA48" i="39"/>
  <c r="Z49" i="39" s="1"/>
  <c r="AJ175" i="31"/>
  <c r="AK198" i="31"/>
  <c r="AJ198" i="31" s="1"/>
  <c r="AK176" i="31"/>
  <c r="AL177" i="31"/>
  <c r="BZ44" i="39" l="1"/>
  <c r="AE47" i="39"/>
  <c r="AL47" i="39" s="1"/>
  <c r="X47" i="39"/>
  <c r="AA48" i="42"/>
  <c r="AE46" i="42"/>
  <c r="AG46" i="42" s="1"/>
  <c r="AH46" i="42" s="1"/>
  <c r="AC47" i="39"/>
  <c r="AD47" i="39"/>
  <c r="AR47" i="39" s="1"/>
  <c r="BY45" i="39"/>
  <c r="AB48" i="42"/>
  <c r="AC48" i="42"/>
  <c r="AD48" i="42" s="1"/>
  <c r="AF48" i="42" s="1"/>
  <c r="W49" i="42"/>
  <c r="X49" i="42" s="1"/>
  <c r="Z49" i="42"/>
  <c r="AA49" i="42" s="1"/>
  <c r="AE47" i="42"/>
  <c r="AG47" i="42" s="1"/>
  <c r="AH47" i="42" s="1"/>
  <c r="AD48" i="41"/>
  <c r="AD49" i="41"/>
  <c r="AF49" i="41" s="1"/>
  <c r="AE49" i="41"/>
  <c r="AC51" i="41"/>
  <c r="BS46" i="40"/>
  <c r="BU46" i="40"/>
  <c r="BE46" i="40"/>
  <c r="BQ46" i="40" s="1"/>
  <c r="BH46" i="40"/>
  <c r="BT46" i="40" s="1"/>
  <c r="BP46" i="40"/>
  <c r="BM45" i="40"/>
  <c r="CV45" i="40" s="1"/>
  <c r="BC46" i="40"/>
  <c r="BO46" i="40" s="1"/>
  <c r="BY45" i="40"/>
  <c r="CW45" i="40" s="1"/>
  <c r="BR46" i="40"/>
  <c r="BW46" i="40"/>
  <c r="BV46" i="40"/>
  <c r="AA48" i="40"/>
  <c r="AB48" i="40"/>
  <c r="CH48" i="40" s="1"/>
  <c r="CJ48" i="40" s="1"/>
  <c r="AC48" i="40"/>
  <c r="BN46" i="40"/>
  <c r="AM47" i="40"/>
  <c r="AE47" i="40"/>
  <c r="AL47" i="40"/>
  <c r="AD47" i="40"/>
  <c r="AK47" i="40"/>
  <c r="AJ47" i="40"/>
  <c r="AI47" i="40"/>
  <c r="AH47" i="40"/>
  <c r="AN47" i="40"/>
  <c r="AF47" i="40"/>
  <c r="AG47" i="40"/>
  <c r="AT47" i="40"/>
  <c r="AY47" i="40"/>
  <c r="AQ47" i="40"/>
  <c r="AV47" i="40"/>
  <c r="AW47" i="40"/>
  <c r="AU47" i="40"/>
  <c r="BF47" i="40" s="1"/>
  <c r="BA47" i="40"/>
  <c r="AR47" i="40"/>
  <c r="AS47" i="40"/>
  <c r="AX47" i="40"/>
  <c r="AZ47" i="40"/>
  <c r="CI47" i="40"/>
  <c r="CK47" i="40" s="1"/>
  <c r="AP47" i="40"/>
  <c r="AO47" i="40"/>
  <c r="AB49" i="40"/>
  <c r="CH49" i="40" s="1"/>
  <c r="AC49" i="40"/>
  <c r="AA49" i="40"/>
  <c r="CL46" i="40"/>
  <c r="BX46" i="40"/>
  <c r="BO44" i="39"/>
  <c r="CX44" i="39" s="1"/>
  <c r="BP44" i="39"/>
  <c r="CA44" i="39" s="1"/>
  <c r="CY44" i="39" s="1"/>
  <c r="BX45" i="39"/>
  <c r="BJ45" i="39"/>
  <c r="BV45" i="39" s="1"/>
  <c r="BD45" i="39"/>
  <c r="BG45" i="39"/>
  <c r="BS45" i="39" s="1"/>
  <c r="BI45" i="39"/>
  <c r="BU45" i="39" s="1"/>
  <c r="AR46" i="39"/>
  <c r="BE45" i="39"/>
  <c r="BQ45" i="39" s="1"/>
  <c r="BN45" i="39"/>
  <c r="BZ45" i="39" s="1"/>
  <c r="BF45" i="39"/>
  <c r="BR45" i="39" s="1"/>
  <c r="AB48" i="39"/>
  <c r="AC48" i="39" s="1"/>
  <c r="BH45" i="39"/>
  <c r="BT45" i="39" s="1"/>
  <c r="CN45" i="39"/>
  <c r="AF47" i="39"/>
  <c r="AQ47" i="39"/>
  <c r="AJ47" i="39"/>
  <c r="AK47" i="39"/>
  <c r="BA47" i="39"/>
  <c r="AT47" i="39"/>
  <c r="BE47" i="39" s="1"/>
  <c r="AK46" i="39"/>
  <c r="AQ46" i="39"/>
  <c r="AL46" i="39"/>
  <c r="AG46" i="39"/>
  <c r="AO46" i="39"/>
  <c r="AF46" i="39"/>
  <c r="AH46" i="39"/>
  <c r="AS46" i="39"/>
  <c r="AM46" i="39"/>
  <c r="AW46" i="39"/>
  <c r="BH46" i="39" s="1"/>
  <c r="AN46" i="39"/>
  <c r="AX46" i="39"/>
  <c r="AP46" i="39"/>
  <c r="AV46" i="39"/>
  <c r="AZ46" i="39"/>
  <c r="AJ46" i="39"/>
  <c r="BB46" i="39"/>
  <c r="AT46" i="39"/>
  <c r="BE46" i="39" s="1"/>
  <c r="AI46" i="39"/>
  <c r="BA46" i="39"/>
  <c r="BC46" i="39"/>
  <c r="AU46" i="39"/>
  <c r="AY46" i="39"/>
  <c r="BK45" i="39"/>
  <c r="BW45" i="39" s="1"/>
  <c r="CJ47" i="39"/>
  <c r="CL47" i="39" s="1"/>
  <c r="CJ46" i="39"/>
  <c r="CL46" i="39" s="1"/>
  <c r="AA49" i="39"/>
  <c r="AB49" i="39" s="1"/>
  <c r="CK47" i="39"/>
  <c r="CM47" i="39" s="1"/>
  <c r="CK46" i="39"/>
  <c r="CM46" i="39" s="1"/>
  <c r="AJ176" i="31"/>
  <c r="AK199" i="31"/>
  <c r="AJ199" i="31" s="1"/>
  <c r="AK177" i="31"/>
  <c r="AL178" i="31"/>
  <c r="AF48" i="41" l="1"/>
  <c r="AG48" i="41" s="1"/>
  <c r="AE49" i="39"/>
  <c r="X49" i="39"/>
  <c r="AG47" i="39"/>
  <c r="AY47" i="39"/>
  <c r="BJ47" i="39" s="1"/>
  <c r="BV47" i="39" s="1"/>
  <c r="AS47" i="39"/>
  <c r="BD47" i="39" s="1"/>
  <c r="AO47" i="39"/>
  <c r="AW47" i="39"/>
  <c r="BH47" i="39" s="1"/>
  <c r="BT47" i="39" s="1"/>
  <c r="AU47" i="39"/>
  <c r="BF47" i="39" s="1"/>
  <c r="AI47" i="39"/>
  <c r="AM47" i="39"/>
  <c r="AH47" i="39"/>
  <c r="AN47" i="39"/>
  <c r="AE48" i="39"/>
  <c r="AJ48" i="39" s="1"/>
  <c r="X48" i="39"/>
  <c r="AZ47" i="39"/>
  <c r="BK47" i="39" s="1"/>
  <c r="BW47" i="39" s="1"/>
  <c r="BB47" i="39"/>
  <c r="BM47" i="39" s="1"/>
  <c r="BY47" i="39" s="1"/>
  <c r="AV47" i="39"/>
  <c r="BC47" i="39"/>
  <c r="AX47" i="39"/>
  <c r="AP47" i="39"/>
  <c r="BQ47" i="39"/>
  <c r="AD48" i="39"/>
  <c r="CK48" i="39" s="1"/>
  <c r="CM48" i="39" s="1"/>
  <c r="AC49" i="42"/>
  <c r="AD49" i="42" s="1"/>
  <c r="AB49" i="42"/>
  <c r="AE49" i="42" s="1"/>
  <c r="AG49" i="42" s="1"/>
  <c r="AE48" i="42"/>
  <c r="BM46" i="40"/>
  <c r="CV46" i="40" s="1"/>
  <c r="AD51" i="41"/>
  <c r="AD53" i="41" s="1"/>
  <c r="BL47" i="40"/>
  <c r="BX47" i="40" s="1"/>
  <c r="BH47" i="40"/>
  <c r="BT47" i="40" s="1"/>
  <c r="BC47" i="40"/>
  <c r="BO47" i="40" s="1"/>
  <c r="BQ46" i="39"/>
  <c r="BR47" i="40"/>
  <c r="CL47" i="40"/>
  <c r="AP49" i="40"/>
  <c r="AO49" i="40"/>
  <c r="CI49" i="40"/>
  <c r="CJ49" i="40"/>
  <c r="CH51" i="40"/>
  <c r="BG47" i="40"/>
  <c r="BS47" i="40" s="1"/>
  <c r="BY46" i="40"/>
  <c r="CW46" i="40" s="1"/>
  <c r="BK47" i="40"/>
  <c r="BW47" i="40" s="1"/>
  <c r="BB47" i="40"/>
  <c r="AG48" i="40"/>
  <c r="AN48" i="40"/>
  <c r="AF48" i="40"/>
  <c r="AM48" i="40"/>
  <c r="AE48" i="40"/>
  <c r="AL48" i="40"/>
  <c r="AD48" i="40"/>
  <c r="AK48" i="40"/>
  <c r="AJ48" i="40"/>
  <c r="AH48" i="40"/>
  <c r="AI48" i="40"/>
  <c r="AV48" i="40"/>
  <c r="BG48" i="40" s="1"/>
  <c r="BA48" i="40"/>
  <c r="AS48" i="40"/>
  <c r="BD48" i="40" s="1"/>
  <c r="AQ48" i="40"/>
  <c r="AX48" i="40"/>
  <c r="AW48" i="40"/>
  <c r="AU48" i="40"/>
  <c r="BF48" i="40" s="1"/>
  <c r="AT48" i="40"/>
  <c r="AZ48" i="40"/>
  <c r="BK48" i="40" s="1"/>
  <c r="AR48" i="40"/>
  <c r="AY48" i="40"/>
  <c r="BJ48" i="40" s="1"/>
  <c r="BI47" i="40"/>
  <c r="BU47" i="40" s="1"/>
  <c r="BJ47" i="40"/>
  <c r="BV47" i="40" s="1"/>
  <c r="AI49" i="40"/>
  <c r="AH49" i="40"/>
  <c r="AG49" i="40"/>
  <c r="AN49" i="40"/>
  <c r="AF49" i="40"/>
  <c r="AM49" i="40"/>
  <c r="AE49" i="40"/>
  <c r="AL49" i="40"/>
  <c r="AD49" i="40"/>
  <c r="AJ49" i="40"/>
  <c r="AK49" i="40"/>
  <c r="AZ49" i="40"/>
  <c r="BK49" i="40" s="1"/>
  <c r="AY49" i="40"/>
  <c r="BJ49" i="40" s="1"/>
  <c r="AR49" i="40"/>
  <c r="BC49" i="40" s="1"/>
  <c r="AQ49" i="40"/>
  <c r="BB49" i="40" s="1"/>
  <c r="AW49" i="40"/>
  <c r="AU49" i="40"/>
  <c r="AV49" i="40"/>
  <c r="BG49" i="40" s="1"/>
  <c r="AT49" i="40"/>
  <c r="BE49" i="40" s="1"/>
  <c r="BA49" i="40"/>
  <c r="BL49" i="40" s="1"/>
  <c r="AS49" i="40"/>
  <c r="BD49" i="40" s="1"/>
  <c r="AX49" i="40"/>
  <c r="BI49" i="40" s="1"/>
  <c r="BD47" i="40"/>
  <c r="BP47" i="40" s="1"/>
  <c r="BE47" i="40"/>
  <c r="BQ47" i="40" s="1"/>
  <c r="AO48" i="40"/>
  <c r="CI48" i="40"/>
  <c r="CK48" i="40" s="1"/>
  <c r="CL48" i="40" s="1"/>
  <c r="AP48" i="40"/>
  <c r="AR48" i="39"/>
  <c r="BT46" i="39"/>
  <c r="BF46" i="39"/>
  <c r="BR46" i="39" s="1"/>
  <c r="BI46" i="39"/>
  <c r="BU46" i="39" s="1"/>
  <c r="BM46" i="39"/>
  <c r="BY46" i="39" s="1"/>
  <c r="BD46" i="39"/>
  <c r="BO45" i="39"/>
  <c r="CX45" i="39" s="1"/>
  <c r="BP45" i="39"/>
  <c r="CA45" i="39" s="1"/>
  <c r="CY45" i="39" s="1"/>
  <c r="BJ46" i="39"/>
  <c r="BV46" i="39" s="1"/>
  <c r="BK46" i="39"/>
  <c r="BW46" i="39" s="1"/>
  <c r="BG46" i="39"/>
  <c r="BS46" i="39" s="1"/>
  <c r="BN46" i="39"/>
  <c r="BZ46" i="39" s="1"/>
  <c r="BL46" i="39"/>
  <c r="BX46" i="39" s="1"/>
  <c r="CN47" i="39"/>
  <c r="BN47" i="39"/>
  <c r="BZ47" i="39" s="1"/>
  <c r="AS48" i="39"/>
  <c r="AL48" i="39"/>
  <c r="AF48" i="39"/>
  <c r="BC48" i="39"/>
  <c r="AQ48" i="39"/>
  <c r="AK48" i="39"/>
  <c r="AV48" i="39"/>
  <c r="AN48" i="39"/>
  <c r="AZ48" i="39"/>
  <c r="AP48" i="39"/>
  <c r="AG48" i="39"/>
  <c r="AY48" i="39"/>
  <c r="BJ48" i="39" s="1"/>
  <c r="BA48" i="39"/>
  <c r="AH48" i="39"/>
  <c r="AW48" i="39"/>
  <c r="BB48" i="39"/>
  <c r="AX48" i="39"/>
  <c r="AT48" i="39"/>
  <c r="AM48" i="39"/>
  <c r="BG47" i="39"/>
  <c r="BS47" i="39" s="1"/>
  <c r="BI47" i="39"/>
  <c r="BU47" i="39" s="1"/>
  <c r="BL47" i="39"/>
  <c r="BX47" i="39" s="1"/>
  <c r="AC49" i="39"/>
  <c r="AD49" i="39"/>
  <c r="CN46" i="39"/>
  <c r="AJ177" i="31"/>
  <c r="AK200" i="31"/>
  <c r="AJ200" i="31" s="1"/>
  <c r="AK178" i="31"/>
  <c r="AL179" i="31"/>
  <c r="BR47" i="39" l="1"/>
  <c r="AU48" i="39"/>
  <c r="BF48" i="39" s="1"/>
  <c r="BR48" i="39" s="1"/>
  <c r="AI48" i="39"/>
  <c r="AO48" i="39"/>
  <c r="CJ48" i="39"/>
  <c r="CL48" i="39" s="1"/>
  <c r="CN48" i="39" s="1"/>
  <c r="BG48" i="39"/>
  <c r="AG48" i="42"/>
  <c r="AH48" i="42" s="1"/>
  <c r="AE51" i="42"/>
  <c r="AD51" i="42"/>
  <c r="AF49" i="42"/>
  <c r="AH49" i="42" s="1"/>
  <c r="AG49" i="41"/>
  <c r="BQ49" i="40"/>
  <c r="BS49" i="40"/>
  <c r="BB48" i="40"/>
  <c r="BC48" i="40"/>
  <c r="BO48" i="40" s="1"/>
  <c r="BH48" i="40"/>
  <c r="BT48" i="40" s="1"/>
  <c r="BH49" i="40"/>
  <c r="BT49" i="40" s="1"/>
  <c r="BI48" i="40"/>
  <c r="BU48" i="40" s="1"/>
  <c r="BV48" i="39"/>
  <c r="BR48" i="40"/>
  <c r="BO49" i="40"/>
  <c r="BU49" i="40"/>
  <c r="BP49" i="40"/>
  <c r="CK49" i="40"/>
  <c r="CL49" i="40" s="1"/>
  <c r="CI51" i="40"/>
  <c r="CI53" i="40" s="1"/>
  <c r="BN49" i="40"/>
  <c r="BN47" i="40"/>
  <c r="BY47" i="40" s="1"/>
  <c r="CW47" i="40" s="1"/>
  <c r="BM47" i="40"/>
  <c r="CV47" i="40" s="1"/>
  <c r="BV49" i="40"/>
  <c r="BN48" i="40"/>
  <c r="BX49" i="40"/>
  <c r="BB53" i="40"/>
  <c r="BW49" i="40"/>
  <c r="BV48" i="40"/>
  <c r="BP48" i="40"/>
  <c r="BL48" i="40"/>
  <c r="BX48" i="40" s="1"/>
  <c r="BW48" i="40"/>
  <c r="BS48" i="40"/>
  <c r="BF49" i="40"/>
  <c r="BR49" i="40" s="1"/>
  <c r="BE48" i="40"/>
  <c r="BQ48" i="40" s="1"/>
  <c r="BM48" i="39"/>
  <c r="BY48" i="39" s="1"/>
  <c r="BK48" i="39"/>
  <c r="BW48" i="39" s="1"/>
  <c r="BH48" i="39"/>
  <c r="BT48" i="39" s="1"/>
  <c r="BD48" i="39"/>
  <c r="BL48" i="39"/>
  <c r="BX48" i="39" s="1"/>
  <c r="BE48" i="39"/>
  <c r="BQ48" i="39" s="1"/>
  <c r="BP47" i="39"/>
  <c r="BO47" i="39"/>
  <c r="CX47" i="39" s="1"/>
  <c r="BI48" i="39"/>
  <c r="BU48" i="39" s="1"/>
  <c r="BP46" i="39"/>
  <c r="CA46" i="39" s="1"/>
  <c r="CY46" i="39" s="1"/>
  <c r="BO46" i="39"/>
  <c r="CX46" i="39" s="1"/>
  <c r="AR49" i="39"/>
  <c r="BN48" i="39"/>
  <c r="BZ48" i="39" s="1"/>
  <c r="AF49" i="39"/>
  <c r="AF54" i="39" s="1"/>
  <c r="AS49" i="39"/>
  <c r="AQ49" i="39"/>
  <c r="AH49" i="39"/>
  <c r="AH54" i="39" s="1"/>
  <c r="AP49" i="39"/>
  <c r="BB49" i="39"/>
  <c r="AI49" i="39"/>
  <c r="AU49" i="39"/>
  <c r="BC49" i="39"/>
  <c r="AJ49" i="39"/>
  <c r="AJ54" i="39" s="1"/>
  <c r="AO49" i="39"/>
  <c r="AO54" i="39" s="1"/>
  <c r="BA49" i="39"/>
  <c r="AK49" i="39"/>
  <c r="AK54" i="39" s="1"/>
  <c r="AW49" i="39"/>
  <c r="AT49" i="39"/>
  <c r="AL49" i="39"/>
  <c r="AL54" i="39" s="1"/>
  <c r="AX49" i="39"/>
  <c r="AN49" i="39"/>
  <c r="AN54" i="39" s="1"/>
  <c r="AG49" i="39"/>
  <c r="AV49" i="39"/>
  <c r="AM49" i="39"/>
  <c r="AM54" i="39" s="1"/>
  <c r="AY49" i="39"/>
  <c r="AZ49" i="39"/>
  <c r="CJ49" i="39"/>
  <c r="CK49" i="39"/>
  <c r="AJ178" i="31"/>
  <c r="AK201" i="31"/>
  <c r="AJ201" i="31" s="1"/>
  <c r="AK179" i="31"/>
  <c r="AL180" i="31"/>
  <c r="CA47" i="39" l="1"/>
  <c r="CY47" i="39" s="1"/>
  <c r="BS48" i="39"/>
  <c r="AI54" i="39"/>
  <c r="AF51" i="39"/>
  <c r="AG54" i="39"/>
  <c r="CJ51" i="39"/>
  <c r="CL49" i="39"/>
  <c r="AH51" i="42"/>
  <c r="AJ12" i="42" s="1"/>
  <c r="AK49" i="42" s="1"/>
  <c r="AE53" i="42"/>
  <c r="AG51" i="41"/>
  <c r="AI12" i="41" s="1"/>
  <c r="BM49" i="40"/>
  <c r="BY48" i="40"/>
  <c r="CW48" i="40" s="1"/>
  <c r="CL51" i="40"/>
  <c r="CN12" i="40" s="1"/>
  <c r="CO49" i="40" s="1"/>
  <c r="CT49" i="40" s="1"/>
  <c r="BM48" i="40"/>
  <c r="CV48" i="40" s="1"/>
  <c r="BY49" i="40"/>
  <c r="BJ49" i="39"/>
  <c r="BH49" i="39"/>
  <c r="BM49" i="39"/>
  <c r="BO48" i="39"/>
  <c r="CX48" i="39" s="1"/>
  <c r="BP48" i="39"/>
  <c r="BK49" i="39"/>
  <c r="BE49" i="39"/>
  <c r="BF49" i="39"/>
  <c r="BG49" i="39"/>
  <c r="BL49" i="39"/>
  <c r="BD49" i="39"/>
  <c r="BD54" i="39" s="1"/>
  <c r="BI49" i="39"/>
  <c r="BN49" i="39"/>
  <c r="BN54" i="39" s="1"/>
  <c r="CM49" i="39"/>
  <c r="CN49" i="39" s="1"/>
  <c r="CK51" i="39"/>
  <c r="CK53" i="39" s="1"/>
  <c r="AJ179" i="31"/>
  <c r="AK202" i="31"/>
  <c r="AJ202" i="31" s="1"/>
  <c r="AK180" i="31"/>
  <c r="AL181" i="31"/>
  <c r="CA48" i="39" l="1"/>
  <c r="CY48" i="39" s="1"/>
  <c r="BX49" i="39"/>
  <c r="BL54" i="39"/>
  <c r="BU49" i="39"/>
  <c r="BI54" i="39"/>
  <c r="BY49" i="39"/>
  <c r="BM54" i="39"/>
  <c r="BT49" i="39"/>
  <c r="BH54" i="39"/>
  <c r="BS49" i="39"/>
  <c r="BG54" i="39"/>
  <c r="BV49" i="39"/>
  <c r="BJ54" i="39"/>
  <c r="BR49" i="39"/>
  <c r="BF54" i="39"/>
  <c r="BW49" i="39"/>
  <c r="BK54" i="39"/>
  <c r="BQ49" i="39"/>
  <c r="BE54" i="39"/>
  <c r="BD51" i="39"/>
  <c r="AM49" i="42"/>
  <c r="AP49" i="42"/>
  <c r="AR49" i="42" s="1"/>
  <c r="AT49" i="42" s="1"/>
  <c r="AK50" i="42"/>
  <c r="AI21" i="42"/>
  <c r="AL21" i="42" s="1"/>
  <c r="AJ24" i="42"/>
  <c r="AI29" i="42"/>
  <c r="AL29" i="42" s="1"/>
  <c r="AJ30" i="42"/>
  <c r="AI34" i="42"/>
  <c r="AL34" i="42" s="1"/>
  <c r="AK34" i="42"/>
  <c r="AJ38" i="42"/>
  <c r="AJ40" i="42"/>
  <c r="AJ43" i="42"/>
  <c r="AJ46" i="42"/>
  <c r="AI49" i="42"/>
  <c r="AL49" i="42" s="1"/>
  <c r="AK39" i="42"/>
  <c r="AI23" i="42"/>
  <c r="AL23" i="42" s="1"/>
  <c r="AK48" i="42"/>
  <c r="AI20" i="42"/>
  <c r="AL20" i="42" s="1"/>
  <c r="AK21" i="42"/>
  <c r="AJ27" i="42"/>
  <c r="AK26" i="42"/>
  <c r="AJ31" i="42"/>
  <c r="AK32" i="42"/>
  <c r="AI36" i="42"/>
  <c r="AL36" i="42" s="1"/>
  <c r="AK38" i="42"/>
  <c r="AJ41" i="42"/>
  <c r="AJ45" i="42"/>
  <c r="AI47" i="42"/>
  <c r="AL47" i="42" s="1"/>
  <c r="AI45" i="42"/>
  <c r="AL45" i="42" s="1"/>
  <c r="AJ50" i="42"/>
  <c r="AI38" i="42"/>
  <c r="AL38" i="42" s="1"/>
  <c r="AJ21" i="42"/>
  <c r="AJ23" i="42"/>
  <c r="AJ26" i="42"/>
  <c r="AI30" i="42"/>
  <c r="AL30" i="42" s="1"/>
  <c r="AK30" i="42"/>
  <c r="AJ35" i="42"/>
  <c r="AI37" i="42"/>
  <c r="AL37" i="42" s="1"/>
  <c r="AI39" i="42"/>
  <c r="AL39" i="42" s="1"/>
  <c r="AJ42" i="42"/>
  <c r="AJ44" i="42"/>
  <c r="AK46" i="42"/>
  <c r="AK40" i="42"/>
  <c r="AJ32" i="42"/>
  <c r="AI46" i="42"/>
  <c r="AL46" i="42" s="1"/>
  <c r="AJ20" i="42"/>
  <c r="AK23" i="42"/>
  <c r="AI27" i="42"/>
  <c r="AL27" i="42" s="1"/>
  <c r="AI28" i="42"/>
  <c r="AL28" i="42" s="1"/>
  <c r="AI31" i="42"/>
  <c r="AL31" i="42" s="1"/>
  <c r="AJ33" i="42"/>
  <c r="AJ36" i="42"/>
  <c r="AI48" i="42"/>
  <c r="AL48" i="42" s="1"/>
  <c r="AI26" i="42"/>
  <c r="AL26" i="42" s="1"/>
  <c r="AK20" i="42"/>
  <c r="AK22" i="42"/>
  <c r="AK25" i="42"/>
  <c r="AJ29" i="42"/>
  <c r="AI32" i="42"/>
  <c r="AL32" i="42" s="1"/>
  <c r="AI35" i="42"/>
  <c r="AL35" i="42" s="1"/>
  <c r="AK37" i="42"/>
  <c r="AJ39" i="42"/>
  <c r="AK41" i="42"/>
  <c r="AK44" i="42"/>
  <c r="AJ47" i="42"/>
  <c r="AI25" i="42"/>
  <c r="AL25" i="42" s="1"/>
  <c r="AK42" i="42"/>
  <c r="AJ49" i="42"/>
  <c r="AI22" i="42"/>
  <c r="AL22" i="42" s="1"/>
  <c r="AJ25" i="42"/>
  <c r="AK24" i="42"/>
  <c r="AJ28" i="42"/>
  <c r="AK31" i="42"/>
  <c r="AK33" i="42"/>
  <c r="AJ37" i="42"/>
  <c r="AI40" i="42"/>
  <c r="AL40" i="42" s="1"/>
  <c r="AI44" i="42"/>
  <c r="AL44" i="42" s="1"/>
  <c r="AK45" i="42"/>
  <c r="AK47" i="42"/>
  <c r="AK29" i="42"/>
  <c r="AI42" i="42"/>
  <c r="AL42" i="42" s="1"/>
  <c r="AI50" i="42"/>
  <c r="AL50" i="42" s="1"/>
  <c r="AJ22" i="42"/>
  <c r="AI24" i="42"/>
  <c r="AL24" i="42" s="1"/>
  <c r="AK27" i="42"/>
  <c r="AK28" i="42"/>
  <c r="AI33" i="42"/>
  <c r="AL33" i="42" s="1"/>
  <c r="AJ34" i="42"/>
  <c r="AK36" i="42"/>
  <c r="AI41" i="42"/>
  <c r="AL41" i="42" s="1"/>
  <c r="AI43" i="42"/>
  <c r="AL43" i="42" s="1"/>
  <c r="AK43" i="42"/>
  <c r="AJ48" i="42"/>
  <c r="AK35" i="42"/>
  <c r="AH21" i="41"/>
  <c r="AK21" i="41" s="1"/>
  <c r="AH20" i="41"/>
  <c r="AK20" i="41" s="1"/>
  <c r="AI21" i="41"/>
  <c r="AI20" i="41"/>
  <c r="AH22" i="41"/>
  <c r="AK22" i="41" s="1"/>
  <c r="AJ22" i="41"/>
  <c r="AJ20" i="41"/>
  <c r="AL20" i="41" s="1"/>
  <c r="AJ21" i="41"/>
  <c r="AI22" i="41"/>
  <c r="AH23" i="41"/>
  <c r="AK23" i="41" s="1"/>
  <c r="AH24" i="41"/>
  <c r="AK24" i="41" s="1"/>
  <c r="AI23" i="41"/>
  <c r="AH26" i="41"/>
  <c r="AK26" i="41" s="1"/>
  <c r="AJ24" i="41"/>
  <c r="AH25" i="41"/>
  <c r="AK25" i="41" s="1"/>
  <c r="AI24" i="41"/>
  <c r="AJ23" i="41"/>
  <c r="AI26" i="41"/>
  <c r="AJ26" i="41"/>
  <c r="AH27" i="41"/>
  <c r="AK27" i="41" s="1"/>
  <c r="AI25" i="41"/>
  <c r="AI27" i="41"/>
  <c r="AJ25" i="41"/>
  <c r="AH28" i="41"/>
  <c r="AK28" i="41" s="1"/>
  <c r="AJ27" i="41"/>
  <c r="AI28" i="41"/>
  <c r="AH29" i="41"/>
  <c r="AK29" i="41" s="1"/>
  <c r="AJ28" i="41"/>
  <c r="AJ29" i="41"/>
  <c r="AH30" i="41"/>
  <c r="AK30" i="41" s="1"/>
  <c r="AI29" i="41"/>
  <c r="AH31" i="41"/>
  <c r="AK31" i="41" s="1"/>
  <c r="AI30" i="41"/>
  <c r="AJ31" i="41"/>
  <c r="AJ30" i="41"/>
  <c r="AI31" i="41"/>
  <c r="AH32" i="41"/>
  <c r="AK32" i="41" s="1"/>
  <c r="AH33" i="41"/>
  <c r="AK33" i="41" s="1"/>
  <c r="AI32" i="41"/>
  <c r="AJ32" i="41"/>
  <c r="AJ33" i="41"/>
  <c r="AH34" i="41"/>
  <c r="AK34" i="41" s="1"/>
  <c r="AH35" i="41"/>
  <c r="AK35" i="41" s="1"/>
  <c r="AI33" i="41"/>
  <c r="AI35" i="41"/>
  <c r="AJ34" i="41"/>
  <c r="AI34" i="41"/>
  <c r="AH36" i="41"/>
  <c r="AK36" i="41" s="1"/>
  <c r="AJ35" i="41"/>
  <c r="AJ36" i="41"/>
  <c r="AI36" i="41"/>
  <c r="AH37" i="41"/>
  <c r="AK37" i="41" s="1"/>
  <c r="AH38" i="41"/>
  <c r="AK38" i="41" s="1"/>
  <c r="AI37" i="41"/>
  <c r="AJ38" i="41"/>
  <c r="AH40" i="41"/>
  <c r="AK40" i="41" s="1"/>
  <c r="AI38" i="41"/>
  <c r="AH39" i="41"/>
  <c r="AK39" i="41" s="1"/>
  <c r="AJ37" i="41"/>
  <c r="AI39" i="41"/>
  <c r="AH41" i="41"/>
  <c r="AK41" i="41" s="1"/>
  <c r="AI40" i="41"/>
  <c r="AI41" i="41"/>
  <c r="AJ39" i="41"/>
  <c r="AJ40" i="41"/>
  <c r="AJ41" i="41"/>
  <c r="AH42" i="41"/>
  <c r="AK42" i="41" s="1"/>
  <c r="AI42" i="41"/>
  <c r="AH43" i="41"/>
  <c r="AK43" i="41" s="1"/>
  <c r="AJ43" i="41"/>
  <c r="AJ42" i="41"/>
  <c r="AH44" i="41"/>
  <c r="AK44" i="41" s="1"/>
  <c r="AH45" i="41"/>
  <c r="AK45" i="41" s="1"/>
  <c r="AI43" i="41"/>
  <c r="AI45" i="41"/>
  <c r="AI44" i="41"/>
  <c r="AJ44" i="41"/>
  <c r="AH47" i="41"/>
  <c r="AK47" i="41" s="1"/>
  <c r="AH46" i="41"/>
  <c r="AK46" i="41" s="1"/>
  <c r="AJ45" i="41"/>
  <c r="AI46" i="41"/>
  <c r="AJ47" i="41"/>
  <c r="AI47" i="41"/>
  <c r="AJ46" i="41"/>
  <c r="AH48" i="41"/>
  <c r="AK48" i="41" s="1"/>
  <c r="AH49" i="41"/>
  <c r="AK49" i="41" s="1"/>
  <c r="AJ48" i="41"/>
  <c r="AI48" i="41"/>
  <c r="AI49" i="41"/>
  <c r="AJ49" i="41"/>
  <c r="CW49" i="40"/>
  <c r="BY52" i="40"/>
  <c r="F113" i="40" s="1"/>
  <c r="CN49" i="40"/>
  <c r="CQ49" i="40" s="1"/>
  <c r="CM20" i="40"/>
  <c r="CP20" i="40" s="1"/>
  <c r="CN20" i="40"/>
  <c r="CQ20" i="40" s="1"/>
  <c r="CO20" i="40"/>
  <c r="CM21" i="40"/>
  <c r="CP21" i="40" s="1"/>
  <c r="CM22" i="40"/>
  <c r="CP22" i="40" s="1"/>
  <c r="CM24" i="40"/>
  <c r="CP24" i="40" s="1"/>
  <c r="CN21" i="40"/>
  <c r="CQ21" i="40" s="1"/>
  <c r="CN22" i="40"/>
  <c r="CQ22" i="40" s="1"/>
  <c r="CM23" i="40"/>
  <c r="CP23" i="40" s="1"/>
  <c r="CO22" i="40"/>
  <c r="CT22" i="40" s="1"/>
  <c r="CN24" i="40"/>
  <c r="CQ24" i="40" s="1"/>
  <c r="CO21" i="40"/>
  <c r="CT21" i="40" s="1"/>
  <c r="CO24" i="40"/>
  <c r="CT24" i="40" s="1"/>
  <c r="CN23" i="40"/>
  <c r="CQ23" i="40" s="1"/>
  <c r="CM25" i="40"/>
  <c r="CP25" i="40" s="1"/>
  <c r="CO23" i="40"/>
  <c r="CT23" i="40" s="1"/>
  <c r="CM26" i="40"/>
  <c r="CP26" i="40" s="1"/>
  <c r="CM27" i="40"/>
  <c r="CP27" i="40" s="1"/>
  <c r="CO27" i="40"/>
  <c r="CT27" i="40" s="1"/>
  <c r="CN26" i="40"/>
  <c r="CQ26" i="40" s="1"/>
  <c r="CN27" i="40"/>
  <c r="CQ27" i="40" s="1"/>
  <c r="CN25" i="40"/>
  <c r="CQ25" i="40" s="1"/>
  <c r="CO26" i="40"/>
  <c r="CT26" i="40" s="1"/>
  <c r="CO25" i="40"/>
  <c r="CT25" i="40" s="1"/>
  <c r="CM28" i="40"/>
  <c r="CP28" i="40" s="1"/>
  <c r="CO28" i="40"/>
  <c r="CT28" i="40" s="1"/>
  <c r="CN28" i="40"/>
  <c r="CQ28" i="40" s="1"/>
  <c r="CM29" i="40"/>
  <c r="CP29" i="40" s="1"/>
  <c r="CM30" i="40"/>
  <c r="CP30" i="40" s="1"/>
  <c r="CN29" i="40"/>
  <c r="CQ29" i="40" s="1"/>
  <c r="CN30" i="40"/>
  <c r="CQ30" i="40" s="1"/>
  <c r="CO29" i="40"/>
  <c r="CT29" i="40" s="1"/>
  <c r="CM31" i="40"/>
  <c r="CP31" i="40" s="1"/>
  <c r="CO30" i="40"/>
  <c r="CT30" i="40" s="1"/>
  <c r="CM32" i="40"/>
  <c r="CP32" i="40" s="1"/>
  <c r="CO31" i="40"/>
  <c r="CT31" i="40" s="1"/>
  <c r="CN31" i="40"/>
  <c r="CQ31" i="40" s="1"/>
  <c r="CN32" i="40"/>
  <c r="CQ32" i="40" s="1"/>
  <c r="CM33" i="40"/>
  <c r="CP33" i="40" s="1"/>
  <c r="CM35" i="40"/>
  <c r="CP35" i="40" s="1"/>
  <c r="CN33" i="40"/>
  <c r="CQ33" i="40" s="1"/>
  <c r="CO32" i="40"/>
  <c r="CT32" i="40" s="1"/>
  <c r="CM34" i="40"/>
  <c r="CP34" i="40" s="1"/>
  <c r="CO35" i="40"/>
  <c r="CT35" i="40" s="1"/>
  <c r="CO34" i="40"/>
  <c r="CT34" i="40" s="1"/>
  <c r="CN35" i="40"/>
  <c r="CQ35" i="40" s="1"/>
  <c r="CN34" i="40"/>
  <c r="CQ34" i="40" s="1"/>
  <c r="CO33" i="40"/>
  <c r="CT33" i="40" s="1"/>
  <c r="CM36" i="40"/>
  <c r="CP36" i="40" s="1"/>
  <c r="CO36" i="40"/>
  <c r="CT36" i="40" s="1"/>
  <c r="CM37" i="40"/>
  <c r="CP37" i="40" s="1"/>
  <c r="CN36" i="40"/>
  <c r="CQ36" i="40" s="1"/>
  <c r="CO37" i="40"/>
  <c r="CT37" i="40" s="1"/>
  <c r="CN37" i="40"/>
  <c r="CQ37" i="40" s="1"/>
  <c r="CM38" i="40"/>
  <c r="CP38" i="40" s="1"/>
  <c r="CN38" i="40"/>
  <c r="CQ38" i="40" s="1"/>
  <c r="CO38" i="40"/>
  <c r="CT38" i="40" s="1"/>
  <c r="CM39" i="40"/>
  <c r="CP39" i="40" s="1"/>
  <c r="CM40" i="40"/>
  <c r="CP40" i="40" s="1"/>
  <c r="CN39" i="40"/>
  <c r="CQ39" i="40" s="1"/>
  <c r="CO39" i="40"/>
  <c r="CT39" i="40" s="1"/>
  <c r="CO40" i="40"/>
  <c r="CT40" i="40" s="1"/>
  <c r="CN40" i="40"/>
  <c r="CQ40" i="40" s="1"/>
  <c r="CM41" i="40"/>
  <c r="CP41" i="40" s="1"/>
  <c r="CO41" i="40"/>
  <c r="CT41" i="40" s="1"/>
  <c r="CM42" i="40"/>
  <c r="CP42" i="40" s="1"/>
  <c r="CN41" i="40"/>
  <c r="CQ41" i="40" s="1"/>
  <c r="CM44" i="40"/>
  <c r="CP44" i="40" s="1"/>
  <c r="CN42" i="40"/>
  <c r="CQ42" i="40" s="1"/>
  <c r="CM43" i="40"/>
  <c r="CP43" i="40" s="1"/>
  <c r="CO43" i="40"/>
  <c r="CT43" i="40" s="1"/>
  <c r="CO42" i="40"/>
  <c r="CT42" i="40" s="1"/>
  <c r="CN44" i="40"/>
  <c r="CQ44" i="40" s="1"/>
  <c r="CN43" i="40"/>
  <c r="CQ43" i="40" s="1"/>
  <c r="CO44" i="40"/>
  <c r="CT44" i="40" s="1"/>
  <c r="CM45" i="40"/>
  <c r="CP45" i="40" s="1"/>
  <c r="CM46" i="40"/>
  <c r="CP46" i="40" s="1"/>
  <c r="CN45" i="40"/>
  <c r="CQ45" i="40" s="1"/>
  <c r="CO45" i="40"/>
  <c r="CT45" i="40" s="1"/>
  <c r="CN46" i="40"/>
  <c r="CQ46" i="40" s="1"/>
  <c r="CM47" i="40"/>
  <c r="CP47" i="40" s="1"/>
  <c r="CO46" i="40"/>
  <c r="CT46" i="40" s="1"/>
  <c r="CM48" i="40"/>
  <c r="CP48" i="40" s="1"/>
  <c r="CN47" i="40"/>
  <c r="CQ47" i="40" s="1"/>
  <c r="CO48" i="40"/>
  <c r="CT48" i="40" s="1"/>
  <c r="CO47" i="40"/>
  <c r="CT47" i="40" s="1"/>
  <c r="CN48" i="40"/>
  <c r="CQ48" i="40" s="1"/>
  <c r="CM49" i="40"/>
  <c r="CP49" i="40" s="1"/>
  <c r="CR49" i="40" s="1"/>
  <c r="CU49" i="40" s="1"/>
  <c r="CV49" i="40"/>
  <c r="BM52" i="40"/>
  <c r="F112" i="40" s="1"/>
  <c r="BZ49" i="39"/>
  <c r="BP49" i="39"/>
  <c r="BO49" i="39"/>
  <c r="BO54" i="39" s="1"/>
  <c r="CN51" i="39"/>
  <c r="CP12" i="39" s="1"/>
  <c r="CP49" i="39" s="1"/>
  <c r="CS49" i="39" s="1"/>
  <c r="AJ180" i="31"/>
  <c r="AK203" i="31"/>
  <c r="AJ203" i="31" s="1"/>
  <c r="AK181" i="31"/>
  <c r="AL182" i="31"/>
  <c r="CA49" i="39" l="1"/>
  <c r="CY49" i="39" s="1"/>
  <c r="AM47" i="42"/>
  <c r="AN47" i="42" s="1"/>
  <c r="AQ47" i="42" s="1"/>
  <c r="AS47" i="42" s="1"/>
  <c r="AU47" i="42" s="1"/>
  <c r="AP47" i="42"/>
  <c r="AR47" i="42" s="1"/>
  <c r="AT47" i="42" s="1"/>
  <c r="AP24" i="42"/>
  <c r="AR24" i="42" s="1"/>
  <c r="AT24" i="42" s="1"/>
  <c r="AM24" i="42"/>
  <c r="AN24" i="42" s="1"/>
  <c r="AQ24" i="42" s="1"/>
  <c r="AS24" i="42" s="1"/>
  <c r="AU24" i="42" s="1"/>
  <c r="AM41" i="42"/>
  <c r="AN41" i="42" s="1"/>
  <c r="AQ41" i="42" s="1"/>
  <c r="AS41" i="42" s="1"/>
  <c r="AU41" i="42" s="1"/>
  <c r="AP41" i="42"/>
  <c r="AR41" i="42" s="1"/>
  <c r="AT41" i="42" s="1"/>
  <c r="AK51" i="42"/>
  <c r="AM51" i="42" s="1"/>
  <c r="AM20" i="42"/>
  <c r="AN20" i="42" s="1"/>
  <c r="AP20" i="42"/>
  <c r="AM23" i="42"/>
  <c r="AN23" i="42" s="1"/>
  <c r="AQ23" i="42" s="1"/>
  <c r="AS23" i="42" s="1"/>
  <c r="AU23" i="42" s="1"/>
  <c r="AP23" i="42"/>
  <c r="AR23" i="42" s="1"/>
  <c r="AT23" i="42" s="1"/>
  <c r="AP32" i="42"/>
  <c r="AR32" i="42" s="1"/>
  <c r="AT32" i="42" s="1"/>
  <c r="AM32" i="42"/>
  <c r="AN32" i="42" s="1"/>
  <c r="AQ32" i="42" s="1"/>
  <c r="AS32" i="42" s="1"/>
  <c r="AU32" i="42" s="1"/>
  <c r="AP39" i="42"/>
  <c r="AR39" i="42" s="1"/>
  <c r="AT39" i="42" s="1"/>
  <c r="AM39" i="42"/>
  <c r="AN39" i="42" s="1"/>
  <c r="AQ39" i="42" s="1"/>
  <c r="AS39" i="42" s="1"/>
  <c r="AU39" i="42" s="1"/>
  <c r="AP29" i="42"/>
  <c r="AR29" i="42" s="1"/>
  <c r="AT29" i="42" s="1"/>
  <c r="AM29" i="42"/>
  <c r="AN29" i="42" s="1"/>
  <c r="AQ29" i="42" s="1"/>
  <c r="AS29" i="42" s="1"/>
  <c r="AU29" i="42" s="1"/>
  <c r="AP35" i="42"/>
  <c r="AR35" i="42" s="1"/>
  <c r="AT35" i="42" s="1"/>
  <c r="AM35" i="42"/>
  <c r="AN35" i="42" s="1"/>
  <c r="AQ35" i="42" s="1"/>
  <c r="AS35" i="42" s="1"/>
  <c r="AU35" i="42" s="1"/>
  <c r="AP28" i="42"/>
  <c r="AR28" i="42" s="1"/>
  <c r="AT28" i="42" s="1"/>
  <c r="AM28" i="42"/>
  <c r="AN28" i="42" s="1"/>
  <c r="AQ28" i="42" s="1"/>
  <c r="AS28" i="42" s="1"/>
  <c r="AU28" i="42" s="1"/>
  <c r="AP45" i="42"/>
  <c r="AR45" i="42" s="1"/>
  <c r="AT45" i="42" s="1"/>
  <c r="AM45" i="42"/>
  <c r="AN45" i="42" s="1"/>
  <c r="AQ45" i="42" s="1"/>
  <c r="AS45" i="42" s="1"/>
  <c r="AU45" i="42" s="1"/>
  <c r="AP27" i="42"/>
  <c r="AR27" i="42" s="1"/>
  <c r="AT27" i="42" s="1"/>
  <c r="AM27" i="42"/>
  <c r="AN27" i="42" s="1"/>
  <c r="AQ27" i="42" s="1"/>
  <c r="AS27" i="42" s="1"/>
  <c r="AU27" i="42" s="1"/>
  <c r="AM37" i="42"/>
  <c r="AN37" i="42" s="1"/>
  <c r="AQ37" i="42" s="1"/>
  <c r="AS37" i="42" s="1"/>
  <c r="AU37" i="42" s="1"/>
  <c r="AP37" i="42"/>
  <c r="AR37" i="42" s="1"/>
  <c r="AT37" i="42" s="1"/>
  <c r="AP26" i="42"/>
  <c r="AR26" i="42" s="1"/>
  <c r="AT26" i="42" s="1"/>
  <c r="AM26" i="42"/>
  <c r="AN26" i="42" s="1"/>
  <c r="AQ26" i="42" s="1"/>
  <c r="AS26" i="42" s="1"/>
  <c r="AU26" i="42" s="1"/>
  <c r="AP43" i="42"/>
  <c r="AR43" i="42" s="1"/>
  <c r="AT43" i="42" s="1"/>
  <c r="AM43" i="42"/>
  <c r="AN43" i="42" s="1"/>
  <c r="AQ43" i="42" s="1"/>
  <c r="AS43" i="42" s="1"/>
  <c r="AU43" i="42" s="1"/>
  <c r="AM30" i="42"/>
  <c r="AN30" i="42" s="1"/>
  <c r="AQ30" i="42" s="1"/>
  <c r="AS30" i="42" s="1"/>
  <c r="AU30" i="42" s="1"/>
  <c r="AP30" i="42"/>
  <c r="AR30" i="42" s="1"/>
  <c r="AT30" i="42" s="1"/>
  <c r="AM22" i="42"/>
  <c r="AN22" i="42" s="1"/>
  <c r="AQ22" i="42" s="1"/>
  <c r="AS22" i="42" s="1"/>
  <c r="AU22" i="42" s="1"/>
  <c r="AP22" i="42"/>
  <c r="AR22" i="42" s="1"/>
  <c r="AT22" i="42" s="1"/>
  <c r="AP42" i="42"/>
  <c r="AR42" i="42" s="1"/>
  <c r="AT42" i="42" s="1"/>
  <c r="AM42" i="42"/>
  <c r="AN42" i="42" s="1"/>
  <c r="AQ42" i="42" s="1"/>
  <c r="AS42" i="42" s="1"/>
  <c r="AU42" i="42" s="1"/>
  <c r="AP40" i="42"/>
  <c r="AR40" i="42" s="1"/>
  <c r="AT40" i="42" s="1"/>
  <c r="AM40" i="42"/>
  <c r="AN40" i="42" s="1"/>
  <c r="AQ40" i="42" s="1"/>
  <c r="AS40" i="42" s="1"/>
  <c r="AU40" i="42" s="1"/>
  <c r="AM21" i="42"/>
  <c r="AN21" i="42" s="1"/>
  <c r="AQ21" i="42" s="1"/>
  <c r="AS21" i="42" s="1"/>
  <c r="AU21" i="42" s="1"/>
  <c r="AP21" i="42"/>
  <c r="AR21" i="42" s="1"/>
  <c r="AT21" i="42" s="1"/>
  <c r="AM50" i="42"/>
  <c r="AN50" i="42" s="1"/>
  <c r="AQ50" i="42" s="1"/>
  <c r="AS50" i="42" s="1"/>
  <c r="AU50" i="42" s="1"/>
  <c r="AP50" i="42"/>
  <c r="AR50" i="42" s="1"/>
  <c r="AT50" i="42" s="1"/>
  <c r="AP44" i="42"/>
  <c r="AR44" i="42" s="1"/>
  <c r="AT44" i="42" s="1"/>
  <c r="AM44" i="42"/>
  <c r="AN44" i="42" s="1"/>
  <c r="AQ44" i="42" s="1"/>
  <c r="AS44" i="42" s="1"/>
  <c r="AU44" i="42" s="1"/>
  <c r="AM33" i="42"/>
  <c r="AN33" i="42" s="1"/>
  <c r="AQ33" i="42" s="1"/>
  <c r="AS33" i="42" s="1"/>
  <c r="AU33" i="42" s="1"/>
  <c r="AP33" i="42"/>
  <c r="AR33" i="42" s="1"/>
  <c r="AT33" i="42" s="1"/>
  <c r="AP46" i="42"/>
  <c r="AR46" i="42" s="1"/>
  <c r="AT46" i="42" s="1"/>
  <c r="AM46" i="42"/>
  <c r="AN46" i="42" s="1"/>
  <c r="AQ46" i="42" s="1"/>
  <c r="AS46" i="42" s="1"/>
  <c r="AU46" i="42" s="1"/>
  <c r="AP36" i="42"/>
  <c r="AR36" i="42" s="1"/>
  <c r="AT36" i="42" s="1"/>
  <c r="AM36" i="42"/>
  <c r="AN36" i="42" s="1"/>
  <c r="AQ36" i="42" s="1"/>
  <c r="AS36" i="42" s="1"/>
  <c r="AU36" i="42" s="1"/>
  <c r="AP31" i="42"/>
  <c r="AR31" i="42" s="1"/>
  <c r="AT31" i="42" s="1"/>
  <c r="AM31" i="42"/>
  <c r="AN31" i="42" s="1"/>
  <c r="AQ31" i="42" s="1"/>
  <c r="AS31" i="42" s="1"/>
  <c r="AU31" i="42" s="1"/>
  <c r="AP25" i="42"/>
  <c r="AR25" i="42" s="1"/>
  <c r="AT25" i="42" s="1"/>
  <c r="AM25" i="42"/>
  <c r="AN25" i="42" s="1"/>
  <c r="AQ25" i="42" s="1"/>
  <c r="AS25" i="42" s="1"/>
  <c r="AU25" i="42" s="1"/>
  <c r="AM38" i="42"/>
  <c r="AN38" i="42" s="1"/>
  <c r="AQ38" i="42" s="1"/>
  <c r="AS38" i="42" s="1"/>
  <c r="AU38" i="42" s="1"/>
  <c r="AP38" i="42"/>
  <c r="AR38" i="42" s="1"/>
  <c r="AT38" i="42" s="1"/>
  <c r="AP48" i="42"/>
  <c r="AR48" i="42" s="1"/>
  <c r="AT48" i="42" s="1"/>
  <c r="AM48" i="42"/>
  <c r="AN48" i="42" s="1"/>
  <c r="AQ48" i="42" s="1"/>
  <c r="AS48" i="42" s="1"/>
  <c r="AU48" i="42" s="1"/>
  <c r="AM34" i="42"/>
  <c r="AN34" i="42" s="1"/>
  <c r="AQ34" i="42" s="1"/>
  <c r="AS34" i="42" s="1"/>
  <c r="AU34" i="42" s="1"/>
  <c r="AP34" i="42"/>
  <c r="AR34" i="42" s="1"/>
  <c r="AT34" i="42" s="1"/>
  <c r="AN49" i="42"/>
  <c r="AQ49" i="42" s="1"/>
  <c r="AS49" i="42" s="1"/>
  <c r="AU49" i="42" s="1"/>
  <c r="AO45" i="41"/>
  <c r="AQ45" i="41" s="1"/>
  <c r="AS45" i="41" s="1"/>
  <c r="AL45" i="41"/>
  <c r="AM45" i="41" s="1"/>
  <c r="AP45" i="41" s="1"/>
  <c r="AR45" i="41" s="1"/>
  <c r="AT45" i="41" s="1"/>
  <c r="AO39" i="41"/>
  <c r="AQ39" i="41" s="1"/>
  <c r="AS39" i="41" s="1"/>
  <c r="AL39" i="41"/>
  <c r="AO32" i="41"/>
  <c r="AQ32" i="41" s="1"/>
  <c r="AS32" i="41" s="1"/>
  <c r="AL32" i="41"/>
  <c r="AO21" i="41"/>
  <c r="AQ21" i="41" s="1"/>
  <c r="AS21" i="41" s="1"/>
  <c r="AL21" i="41"/>
  <c r="AM21" i="41" s="1"/>
  <c r="AP21" i="41" s="1"/>
  <c r="AR21" i="41" s="1"/>
  <c r="AT21" i="41" s="1"/>
  <c r="AO42" i="41"/>
  <c r="AQ42" i="41" s="1"/>
  <c r="AS42" i="41" s="1"/>
  <c r="AL42" i="41"/>
  <c r="AM42" i="41" s="1"/>
  <c r="AP42" i="41" s="1"/>
  <c r="AR42" i="41" s="1"/>
  <c r="AT42" i="41" s="1"/>
  <c r="AO38" i="41"/>
  <c r="AQ38" i="41" s="1"/>
  <c r="AS38" i="41" s="1"/>
  <c r="AL38" i="41"/>
  <c r="AO25" i="41"/>
  <c r="AQ25" i="41" s="1"/>
  <c r="AS25" i="41" s="1"/>
  <c r="AL25" i="41"/>
  <c r="AM25" i="41" s="1"/>
  <c r="AP25" i="41" s="1"/>
  <c r="AR25" i="41" s="1"/>
  <c r="AT25" i="41" s="1"/>
  <c r="AO43" i="41"/>
  <c r="AQ43" i="41" s="1"/>
  <c r="AS43" i="41" s="1"/>
  <c r="AL43" i="41"/>
  <c r="AM43" i="41" s="1"/>
  <c r="AP43" i="41" s="1"/>
  <c r="AR43" i="41" s="1"/>
  <c r="AT43" i="41" s="1"/>
  <c r="AO34" i="41"/>
  <c r="AQ34" i="41" s="1"/>
  <c r="AS34" i="41" s="1"/>
  <c r="AL34" i="41"/>
  <c r="AM34" i="41" s="1"/>
  <c r="AP34" i="41" s="1"/>
  <c r="AR34" i="41" s="1"/>
  <c r="AT34" i="41" s="1"/>
  <c r="AO24" i="41"/>
  <c r="AQ24" i="41" s="1"/>
  <c r="AS24" i="41" s="1"/>
  <c r="AL24" i="41"/>
  <c r="AO22" i="41"/>
  <c r="AQ22" i="41" s="1"/>
  <c r="AS22" i="41" s="1"/>
  <c r="AL22" i="41"/>
  <c r="AM22" i="41" s="1"/>
  <c r="AP22" i="41" s="1"/>
  <c r="AR22" i="41" s="1"/>
  <c r="AT22" i="41" s="1"/>
  <c r="AM38" i="41"/>
  <c r="AP38" i="41" s="1"/>
  <c r="AR38" i="41" s="1"/>
  <c r="AT38" i="41" s="1"/>
  <c r="AO29" i="41"/>
  <c r="AQ29" i="41" s="1"/>
  <c r="AS29" i="41" s="1"/>
  <c r="AL29" i="41"/>
  <c r="AM29" i="41" s="1"/>
  <c r="AP29" i="41" s="1"/>
  <c r="AR29" i="41" s="1"/>
  <c r="AT29" i="41" s="1"/>
  <c r="AO48" i="41"/>
  <c r="AQ48" i="41" s="1"/>
  <c r="AS48" i="41" s="1"/>
  <c r="AL48" i="41"/>
  <c r="AM48" i="41" s="1"/>
  <c r="AP48" i="41" s="1"/>
  <c r="AR48" i="41" s="1"/>
  <c r="AT48" i="41" s="1"/>
  <c r="AO46" i="41"/>
  <c r="AQ46" i="41" s="1"/>
  <c r="AS46" i="41" s="1"/>
  <c r="AL46" i="41"/>
  <c r="AM46" i="41" s="1"/>
  <c r="AP46" i="41" s="1"/>
  <c r="AR46" i="41" s="1"/>
  <c r="AT46" i="41" s="1"/>
  <c r="AO28" i="41"/>
  <c r="AQ28" i="41" s="1"/>
  <c r="AS28" i="41" s="1"/>
  <c r="AL28" i="41"/>
  <c r="AM28" i="41" s="1"/>
  <c r="AP28" i="41" s="1"/>
  <c r="AR28" i="41" s="1"/>
  <c r="AT28" i="41" s="1"/>
  <c r="AO44" i="41"/>
  <c r="AQ44" i="41" s="1"/>
  <c r="AS44" i="41" s="1"/>
  <c r="AL44" i="41"/>
  <c r="AM44" i="41" s="1"/>
  <c r="AP44" i="41" s="1"/>
  <c r="AR44" i="41" s="1"/>
  <c r="AT44" i="41" s="1"/>
  <c r="AO37" i="41"/>
  <c r="AQ37" i="41" s="1"/>
  <c r="AS37" i="41" s="1"/>
  <c r="AL37" i="41"/>
  <c r="AM37" i="41" s="1"/>
  <c r="AP37" i="41" s="1"/>
  <c r="AR37" i="41" s="1"/>
  <c r="AT37" i="41" s="1"/>
  <c r="AO30" i="41"/>
  <c r="AQ30" i="41" s="1"/>
  <c r="AS30" i="41" s="1"/>
  <c r="AL30" i="41"/>
  <c r="AM30" i="41" s="1"/>
  <c r="AP30" i="41" s="1"/>
  <c r="AR30" i="41" s="1"/>
  <c r="AT30" i="41" s="1"/>
  <c r="AO26" i="41"/>
  <c r="AQ26" i="41" s="1"/>
  <c r="AS26" i="41" s="1"/>
  <c r="AL26" i="41"/>
  <c r="AM26" i="41" s="1"/>
  <c r="AP26" i="41" s="1"/>
  <c r="AR26" i="41" s="1"/>
  <c r="AT26" i="41" s="1"/>
  <c r="AO47" i="41"/>
  <c r="AQ47" i="41" s="1"/>
  <c r="AS47" i="41" s="1"/>
  <c r="AL47" i="41"/>
  <c r="AM47" i="41" s="1"/>
  <c r="AP47" i="41" s="1"/>
  <c r="AR47" i="41" s="1"/>
  <c r="AT47" i="41" s="1"/>
  <c r="AO41" i="41"/>
  <c r="AQ41" i="41" s="1"/>
  <c r="AS41" i="41" s="1"/>
  <c r="AL41" i="41"/>
  <c r="AM41" i="41" s="1"/>
  <c r="AP41" i="41" s="1"/>
  <c r="AR41" i="41" s="1"/>
  <c r="AT41" i="41" s="1"/>
  <c r="AO36" i="41"/>
  <c r="AQ36" i="41" s="1"/>
  <c r="AS36" i="41" s="1"/>
  <c r="AL36" i="41"/>
  <c r="AM36" i="41" s="1"/>
  <c r="AP36" i="41" s="1"/>
  <c r="AR36" i="41" s="1"/>
  <c r="AT36" i="41" s="1"/>
  <c r="AO31" i="41"/>
  <c r="AQ31" i="41" s="1"/>
  <c r="AS31" i="41" s="1"/>
  <c r="AL31" i="41"/>
  <c r="AM31" i="41" s="1"/>
  <c r="AP31" i="41" s="1"/>
  <c r="AR31" i="41" s="1"/>
  <c r="AT31" i="41" s="1"/>
  <c r="AO49" i="41"/>
  <c r="AQ49" i="41" s="1"/>
  <c r="AS49" i="41" s="1"/>
  <c r="AL49" i="41"/>
  <c r="AM49" i="41" s="1"/>
  <c r="AP49" i="41" s="1"/>
  <c r="AR49" i="41" s="1"/>
  <c r="AT49" i="41" s="1"/>
  <c r="AO40" i="41"/>
  <c r="AQ40" i="41" s="1"/>
  <c r="AS40" i="41" s="1"/>
  <c r="AL40" i="41"/>
  <c r="AM40" i="41" s="1"/>
  <c r="AP40" i="41" s="1"/>
  <c r="AR40" i="41" s="1"/>
  <c r="AT40" i="41" s="1"/>
  <c r="AO35" i="41"/>
  <c r="AQ35" i="41" s="1"/>
  <c r="AS35" i="41" s="1"/>
  <c r="AL35" i="41"/>
  <c r="AM35" i="41" s="1"/>
  <c r="AP35" i="41" s="1"/>
  <c r="AR35" i="41" s="1"/>
  <c r="AT35" i="41" s="1"/>
  <c r="AO33" i="41"/>
  <c r="AQ33" i="41" s="1"/>
  <c r="AS33" i="41" s="1"/>
  <c r="AL33" i="41"/>
  <c r="AM33" i="41" s="1"/>
  <c r="AP33" i="41" s="1"/>
  <c r="AR33" i="41" s="1"/>
  <c r="AT33" i="41" s="1"/>
  <c r="AO27" i="41"/>
  <c r="AQ27" i="41" s="1"/>
  <c r="AS27" i="41" s="1"/>
  <c r="AL27" i="41"/>
  <c r="AM27" i="41" s="1"/>
  <c r="AP27" i="41" s="1"/>
  <c r="AR27" i="41" s="1"/>
  <c r="AT27" i="41" s="1"/>
  <c r="AO23" i="41"/>
  <c r="AQ23" i="41" s="1"/>
  <c r="AS23" i="41" s="1"/>
  <c r="AL23" i="41"/>
  <c r="AM23" i="41" s="1"/>
  <c r="AP23" i="41" s="1"/>
  <c r="AR23" i="41" s="1"/>
  <c r="AT23" i="41" s="1"/>
  <c r="AM24" i="41"/>
  <c r="AP24" i="41" s="1"/>
  <c r="AR24" i="41" s="1"/>
  <c r="AT24" i="41" s="1"/>
  <c r="AM32" i="41"/>
  <c r="AP32" i="41" s="1"/>
  <c r="AR32" i="41" s="1"/>
  <c r="AT32" i="41" s="1"/>
  <c r="AJ51" i="41"/>
  <c r="AO20" i="41"/>
  <c r="AM39" i="41"/>
  <c r="AP39" i="41" s="1"/>
  <c r="AR39" i="41" s="1"/>
  <c r="AT39" i="41" s="1"/>
  <c r="AM20" i="41"/>
  <c r="CR30" i="40"/>
  <c r="CU30" i="40" s="1"/>
  <c r="CR21" i="40"/>
  <c r="CU21" i="40" s="1"/>
  <c r="CR28" i="40"/>
  <c r="CU28" i="40" s="1"/>
  <c r="CR46" i="40"/>
  <c r="CU46" i="40" s="1"/>
  <c r="CR22" i="40"/>
  <c r="CU22" i="40" s="1"/>
  <c r="CR45" i="40"/>
  <c r="CU45" i="40" s="1"/>
  <c r="CR44" i="40"/>
  <c r="CU44" i="40" s="1"/>
  <c r="CR29" i="40"/>
  <c r="CU29" i="40" s="1"/>
  <c r="CR48" i="40"/>
  <c r="CU48" i="40" s="1"/>
  <c r="CR40" i="40"/>
  <c r="CU40" i="40" s="1"/>
  <c r="CR37" i="40"/>
  <c r="CU37" i="40" s="1"/>
  <c r="CR34" i="40"/>
  <c r="CU34" i="40" s="1"/>
  <c r="CR32" i="40"/>
  <c r="CU32" i="40" s="1"/>
  <c r="CR31" i="40"/>
  <c r="CU31" i="40" s="1"/>
  <c r="CR23" i="40"/>
  <c r="CU23" i="40" s="1"/>
  <c r="CR20" i="40"/>
  <c r="CU20" i="40" s="1"/>
  <c r="CR35" i="40"/>
  <c r="CU35" i="40" s="1"/>
  <c r="CR38" i="40"/>
  <c r="CU38" i="40" s="1"/>
  <c r="CR25" i="40"/>
  <c r="CU25" i="40" s="1"/>
  <c r="CO51" i="40"/>
  <c r="CT20" i="40"/>
  <c r="CT51" i="40" s="1"/>
  <c r="CR42" i="40"/>
  <c r="CU42" i="40" s="1"/>
  <c r="CR39" i="40"/>
  <c r="CU39" i="40" s="1"/>
  <c r="CR27" i="40"/>
  <c r="CU27" i="40" s="1"/>
  <c r="CR26" i="40"/>
  <c r="CU26" i="40" s="1"/>
  <c r="CR41" i="40"/>
  <c r="CU41" i="40" s="1"/>
  <c r="CR36" i="40"/>
  <c r="CU36" i="40" s="1"/>
  <c r="CR33" i="40"/>
  <c r="CU33" i="40" s="1"/>
  <c r="CR47" i="40"/>
  <c r="CU47" i="40" s="1"/>
  <c r="CR43" i="40"/>
  <c r="CU43" i="40" s="1"/>
  <c r="CR24" i="40"/>
  <c r="CU24" i="40" s="1"/>
  <c r="CX49" i="39"/>
  <c r="BO52" i="39"/>
  <c r="F112" i="39" s="1"/>
  <c r="CO20" i="39"/>
  <c r="CR20" i="39" s="1"/>
  <c r="CQ20" i="39"/>
  <c r="CP20" i="39"/>
  <c r="CS20" i="39" s="1"/>
  <c r="CO22" i="39"/>
  <c r="CR22" i="39" s="1"/>
  <c r="CO21" i="39"/>
  <c r="CR21" i="39" s="1"/>
  <c r="CO23" i="39"/>
  <c r="CR23" i="39" s="1"/>
  <c r="CP21" i="39"/>
  <c r="CS21" i="39" s="1"/>
  <c r="CQ23" i="39"/>
  <c r="CV23" i="39" s="1"/>
  <c r="CP22" i="39"/>
  <c r="CS22" i="39" s="1"/>
  <c r="CP23" i="39"/>
  <c r="CS23" i="39" s="1"/>
  <c r="CQ21" i="39"/>
  <c r="CV21" i="39" s="1"/>
  <c r="CO25" i="39"/>
  <c r="CR25" i="39" s="1"/>
  <c r="CQ22" i="39"/>
  <c r="CV22" i="39" s="1"/>
  <c r="CO24" i="39"/>
  <c r="CR24" i="39" s="1"/>
  <c r="CP25" i="39"/>
  <c r="CS25" i="39" s="1"/>
  <c r="CP24" i="39"/>
  <c r="CS24" i="39" s="1"/>
  <c r="CQ24" i="39"/>
  <c r="CV24" i="39" s="1"/>
  <c r="CQ25" i="39"/>
  <c r="CV25" i="39" s="1"/>
  <c r="CO27" i="39"/>
  <c r="CR27" i="39" s="1"/>
  <c r="CO26" i="39"/>
  <c r="CR26" i="39" s="1"/>
  <c r="CQ26" i="39"/>
  <c r="CV26" i="39" s="1"/>
  <c r="CO28" i="39"/>
  <c r="CR28" i="39" s="1"/>
  <c r="CP26" i="39"/>
  <c r="CS26" i="39" s="1"/>
  <c r="CP27" i="39"/>
  <c r="CS27" i="39" s="1"/>
  <c r="CQ27" i="39"/>
  <c r="CV27" i="39" s="1"/>
  <c r="CO29" i="39"/>
  <c r="CR29" i="39" s="1"/>
  <c r="CP28" i="39"/>
  <c r="CS28" i="39" s="1"/>
  <c r="CQ28" i="39"/>
  <c r="CV28" i="39" s="1"/>
  <c r="CP29" i="39"/>
  <c r="CS29" i="39" s="1"/>
  <c r="CQ29" i="39"/>
  <c r="CV29" i="39" s="1"/>
  <c r="CO30" i="39"/>
  <c r="CR30" i="39" s="1"/>
  <c r="CO31" i="39"/>
  <c r="CR31" i="39" s="1"/>
  <c r="CP30" i="39"/>
  <c r="CS30" i="39" s="1"/>
  <c r="CQ30" i="39"/>
  <c r="CV30" i="39" s="1"/>
  <c r="CO32" i="39"/>
  <c r="CR32" i="39" s="1"/>
  <c r="CQ32" i="39"/>
  <c r="CV32" i="39" s="1"/>
  <c r="CP31" i="39"/>
  <c r="CS31" i="39" s="1"/>
  <c r="CP32" i="39"/>
  <c r="CS32" i="39" s="1"/>
  <c r="CO33" i="39"/>
  <c r="CR33" i="39" s="1"/>
  <c r="CP33" i="39"/>
  <c r="CS33" i="39" s="1"/>
  <c r="CQ31" i="39"/>
  <c r="CV31" i="39" s="1"/>
  <c r="CO34" i="39"/>
  <c r="CR34" i="39" s="1"/>
  <c r="CQ33" i="39"/>
  <c r="CV33" i="39" s="1"/>
  <c r="CQ34" i="39"/>
  <c r="CV34" i="39" s="1"/>
  <c r="CP34" i="39"/>
  <c r="CS34" i="39" s="1"/>
  <c r="CO35" i="39"/>
  <c r="CR35" i="39" s="1"/>
  <c r="CO36" i="39"/>
  <c r="CR36" i="39" s="1"/>
  <c r="CO37" i="39"/>
  <c r="CR37" i="39" s="1"/>
  <c r="CP35" i="39"/>
  <c r="CS35" i="39" s="1"/>
  <c r="CP37" i="39"/>
  <c r="CS37" i="39" s="1"/>
  <c r="CP36" i="39"/>
  <c r="CS36" i="39" s="1"/>
  <c r="CQ35" i="39"/>
  <c r="CV35" i="39" s="1"/>
  <c r="CQ37" i="39"/>
  <c r="CV37" i="39" s="1"/>
  <c r="CQ36" i="39"/>
  <c r="CV36" i="39" s="1"/>
  <c r="CO38" i="39"/>
  <c r="CR38" i="39" s="1"/>
  <c r="CO39" i="39"/>
  <c r="CR39" i="39" s="1"/>
  <c r="CP38" i="39"/>
  <c r="CS38" i="39" s="1"/>
  <c r="CO40" i="39"/>
  <c r="CR40" i="39" s="1"/>
  <c r="CQ38" i="39"/>
  <c r="CV38" i="39" s="1"/>
  <c r="CO41" i="39"/>
  <c r="CR41" i="39" s="1"/>
  <c r="CQ40" i="39"/>
  <c r="CV40" i="39" s="1"/>
  <c r="CP39" i="39"/>
  <c r="CS39" i="39" s="1"/>
  <c r="CP40" i="39"/>
  <c r="CS40" i="39" s="1"/>
  <c r="CQ39" i="39"/>
  <c r="CV39" i="39" s="1"/>
  <c r="CQ41" i="39"/>
  <c r="CV41" i="39" s="1"/>
  <c r="CP41" i="39"/>
  <c r="CS41" i="39" s="1"/>
  <c r="CO42" i="39"/>
  <c r="CR42" i="39" s="1"/>
  <c r="CO43" i="39"/>
  <c r="CR43" i="39" s="1"/>
  <c r="CP42" i="39"/>
  <c r="CS42" i="39" s="1"/>
  <c r="CQ43" i="39"/>
  <c r="CV43" i="39" s="1"/>
  <c r="CQ42" i="39"/>
  <c r="CV42" i="39" s="1"/>
  <c r="CP43" i="39"/>
  <c r="CS43" i="39" s="1"/>
  <c r="CO44" i="39"/>
  <c r="CR44" i="39" s="1"/>
  <c r="CQ44" i="39"/>
  <c r="CV44" i="39" s="1"/>
  <c r="CO45" i="39"/>
  <c r="CR45" i="39" s="1"/>
  <c r="CP44" i="39"/>
  <c r="CS44" i="39" s="1"/>
  <c r="CQ45" i="39"/>
  <c r="CV45" i="39" s="1"/>
  <c r="CP45" i="39"/>
  <c r="CS45" i="39" s="1"/>
  <c r="CO47" i="39"/>
  <c r="CR47" i="39" s="1"/>
  <c r="CO46" i="39"/>
  <c r="CR46" i="39" s="1"/>
  <c r="CQ47" i="39"/>
  <c r="CV47" i="39" s="1"/>
  <c r="CP46" i="39"/>
  <c r="CS46" i="39" s="1"/>
  <c r="CO48" i="39"/>
  <c r="CR48" i="39" s="1"/>
  <c r="CP47" i="39"/>
  <c r="CS47" i="39" s="1"/>
  <c r="CQ46" i="39"/>
  <c r="CV46" i="39" s="1"/>
  <c r="CP48" i="39"/>
  <c r="CS48" i="39" s="1"/>
  <c r="CO49" i="39"/>
  <c r="CR49" i="39" s="1"/>
  <c r="CT49" i="39" s="1"/>
  <c r="CW49" i="39" s="1"/>
  <c r="CQ48" i="39"/>
  <c r="CV48" i="39" s="1"/>
  <c r="CQ49" i="39"/>
  <c r="CV49" i="39" s="1"/>
  <c r="AJ181" i="31"/>
  <c r="AK204" i="31"/>
  <c r="AJ204" i="31" s="1"/>
  <c r="AK182" i="31"/>
  <c r="AL183" i="31"/>
  <c r="CA52" i="39" l="1"/>
  <c r="F113" i="39" s="1"/>
  <c r="AO23" i="42"/>
  <c r="AO33" i="42"/>
  <c r="AO31" i="42"/>
  <c r="AO25" i="42"/>
  <c r="AO49" i="42"/>
  <c r="AO44" i="42"/>
  <c r="AO28" i="42"/>
  <c r="AQ20" i="42"/>
  <c r="AO48" i="42"/>
  <c r="AO41" i="42"/>
  <c r="AO45" i="42"/>
  <c r="AO47" i="42"/>
  <c r="AO36" i="42"/>
  <c r="AO21" i="42"/>
  <c r="AO42" i="42"/>
  <c r="AO37" i="42"/>
  <c r="AO29" i="42"/>
  <c r="AO32" i="42"/>
  <c r="AO34" i="42"/>
  <c r="AO46" i="42"/>
  <c r="AO39" i="42"/>
  <c r="AO26" i="42"/>
  <c r="AN51" i="42"/>
  <c r="AO22" i="42"/>
  <c r="AO38" i="42"/>
  <c r="AO24" i="42"/>
  <c r="AO20" i="42"/>
  <c r="AO43" i="42"/>
  <c r="AO27" i="42"/>
  <c r="AO30" i="42"/>
  <c r="AO40" i="42"/>
  <c r="AO35" i="42"/>
  <c r="AR20" i="42"/>
  <c r="AT20" i="42" s="1"/>
  <c r="AP51" i="42"/>
  <c r="F110" i="42" s="1"/>
  <c r="AO51" i="41"/>
  <c r="F110" i="41" s="1"/>
  <c r="F157" i="41" s="1"/>
  <c r="AQ20" i="41"/>
  <c r="AS20" i="41" s="1"/>
  <c r="AN48" i="41"/>
  <c r="AN40" i="41"/>
  <c r="AN32" i="41"/>
  <c r="AM51" i="41"/>
  <c r="AN43" i="41"/>
  <c r="AN35" i="41"/>
  <c r="AN29" i="41"/>
  <c r="AN26" i="41"/>
  <c r="AN23" i="41"/>
  <c r="AN46" i="41"/>
  <c r="AN38" i="41"/>
  <c r="AP20" i="41"/>
  <c r="AN49" i="41"/>
  <c r="AN41" i="41"/>
  <c r="AN33" i="41"/>
  <c r="AN44" i="41"/>
  <c r="AN36" i="41"/>
  <c r="AN30" i="41"/>
  <c r="AN27" i="41"/>
  <c r="AN24" i="41"/>
  <c r="AN47" i="41"/>
  <c r="AN39" i="41"/>
  <c r="AN21" i="41"/>
  <c r="AN45" i="41"/>
  <c r="AN37" i="41"/>
  <c r="AN28" i="41"/>
  <c r="AN42" i="41"/>
  <c r="AN20" i="41"/>
  <c r="AN34" i="41"/>
  <c r="AN31" i="41"/>
  <c r="AN25" i="41"/>
  <c r="AN22" i="41"/>
  <c r="CS23" i="40"/>
  <c r="CS26" i="40"/>
  <c r="CS24" i="40"/>
  <c r="CS20" i="40"/>
  <c r="CS38" i="40"/>
  <c r="CS21" i="40"/>
  <c r="CS22" i="40"/>
  <c r="CU51" i="40"/>
  <c r="CS37" i="40"/>
  <c r="CS44" i="40"/>
  <c r="CS36" i="40"/>
  <c r="CS35" i="40"/>
  <c r="CS41" i="40"/>
  <c r="CS48" i="40"/>
  <c r="CS42" i="40"/>
  <c r="CS31" i="40"/>
  <c r="CS27" i="40"/>
  <c r="CS46" i="40"/>
  <c r="CS25" i="40"/>
  <c r="CS30" i="40"/>
  <c r="CS32" i="40"/>
  <c r="CS45" i="40"/>
  <c r="CS43" i="40"/>
  <c r="CS29" i="40"/>
  <c r="CS39" i="40"/>
  <c r="CS49" i="40"/>
  <c r="CS34" i="40"/>
  <c r="CS47" i="40"/>
  <c r="CR51" i="40"/>
  <c r="CS28" i="40"/>
  <c r="CS33" i="40"/>
  <c r="CS40" i="40"/>
  <c r="CT37" i="39"/>
  <c r="CW37" i="39" s="1"/>
  <c r="CT31" i="39"/>
  <c r="CW31" i="39" s="1"/>
  <c r="CT47" i="39"/>
  <c r="CW47" i="39" s="1"/>
  <c r="CT36" i="39"/>
  <c r="CW36" i="39" s="1"/>
  <c r="CT28" i="39"/>
  <c r="CW28" i="39" s="1"/>
  <c r="CT38" i="39"/>
  <c r="CW38" i="39" s="1"/>
  <c r="CT46" i="39"/>
  <c r="CW46" i="39" s="1"/>
  <c r="CT30" i="39"/>
  <c r="CW30" i="39" s="1"/>
  <c r="CT35" i="39"/>
  <c r="CW35" i="39" s="1"/>
  <c r="CT22" i="39"/>
  <c r="CW22" i="39" s="1"/>
  <c r="CT23" i="39"/>
  <c r="CW23" i="39" s="1"/>
  <c r="CT41" i="39"/>
  <c r="CW41" i="39" s="1"/>
  <c r="CT24" i="39"/>
  <c r="CW24" i="39" s="1"/>
  <c r="CT39" i="39"/>
  <c r="CW39" i="39" s="1"/>
  <c r="CT33" i="39"/>
  <c r="CW33" i="39" s="1"/>
  <c r="CT21" i="39"/>
  <c r="CW21" i="39" s="1"/>
  <c r="CT43" i="39"/>
  <c r="CW43" i="39" s="1"/>
  <c r="CT26" i="39"/>
  <c r="CW26" i="39" s="1"/>
  <c r="CT25" i="39"/>
  <c r="CW25" i="39" s="1"/>
  <c r="CT48" i="39"/>
  <c r="CW48" i="39" s="1"/>
  <c r="CT45" i="39"/>
  <c r="CW45" i="39" s="1"/>
  <c r="CT42" i="39"/>
  <c r="CW42" i="39" s="1"/>
  <c r="CT32" i="39"/>
  <c r="CW32" i="39" s="1"/>
  <c r="CT27" i="39"/>
  <c r="CW27" i="39" s="1"/>
  <c r="CT40" i="39"/>
  <c r="CW40" i="39" s="1"/>
  <c r="CT34" i="39"/>
  <c r="CW34" i="39" s="1"/>
  <c r="CT29" i="39"/>
  <c r="CW29" i="39" s="1"/>
  <c r="CQ51" i="39"/>
  <c r="CV20" i="39"/>
  <c r="CT44" i="39"/>
  <c r="CW44" i="39" s="1"/>
  <c r="CT20" i="39"/>
  <c r="AJ182" i="31"/>
  <c r="AK205" i="31"/>
  <c r="AJ205" i="31" s="1"/>
  <c r="AK183" i="31"/>
  <c r="AL184" i="31"/>
  <c r="AQ51" i="42" l="1"/>
  <c r="F111" i="42" s="1"/>
  <c r="AS20" i="42"/>
  <c r="AU20" i="42" s="1"/>
  <c r="AP51" i="41"/>
  <c r="F111" i="41" s="1"/>
  <c r="F158" i="41" s="1"/>
  <c r="AR20" i="41"/>
  <c r="AT20" i="41" s="1"/>
  <c r="CV51" i="39"/>
  <c r="CU45" i="39"/>
  <c r="CU37" i="39"/>
  <c r="CU28" i="39"/>
  <c r="CU46" i="39"/>
  <c r="CU38" i="39"/>
  <c r="CW20" i="39"/>
  <c r="CU49" i="39"/>
  <c r="CU41" i="39"/>
  <c r="CU33" i="39"/>
  <c r="CU40" i="39"/>
  <c r="CU43" i="39"/>
  <c r="CU32" i="39"/>
  <c r="CU35" i="39"/>
  <c r="CU29" i="39"/>
  <c r="CT51" i="39"/>
  <c r="CU39" i="39"/>
  <c r="CU44" i="39"/>
  <c r="CU26" i="39"/>
  <c r="CU23" i="39"/>
  <c r="CU47" i="39"/>
  <c r="CU36" i="39"/>
  <c r="CU30" i="39"/>
  <c r="CU20" i="39"/>
  <c r="CU42" i="39"/>
  <c r="CU22" i="39"/>
  <c r="CU24" i="39"/>
  <c r="CU34" i="39"/>
  <c r="CU31" i="39"/>
  <c r="CU48" i="39"/>
  <c r="CU27" i="39"/>
  <c r="CU21" i="39"/>
  <c r="CU25" i="39"/>
  <c r="AJ183" i="31"/>
  <c r="AK206" i="31"/>
  <c r="AJ206" i="31" s="1"/>
  <c r="AK184" i="31"/>
  <c r="AL185" i="31"/>
  <c r="CW51" i="39" l="1"/>
  <c r="AJ184" i="31"/>
  <c r="AK207" i="31"/>
  <c r="AJ207" i="31" s="1"/>
  <c r="AK185" i="31"/>
  <c r="AL186" i="31"/>
  <c r="AK186" i="31" s="1"/>
  <c r="AJ186" i="31" l="1"/>
  <c r="AK209" i="31"/>
  <c r="AJ209" i="31" s="1"/>
  <c r="AJ185" i="31"/>
  <c r="AK208" i="31"/>
  <c r="AJ208" i="31" s="1"/>
</calcChain>
</file>

<file path=xl/sharedStrings.xml><?xml version="1.0" encoding="utf-8"?>
<sst xmlns="http://schemas.openxmlformats.org/spreadsheetml/2006/main" count="1458" uniqueCount="258">
  <si>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</si>
  <si>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</si>
  <si>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</si>
  <si>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</si>
  <si>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</si>
  <si>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</si>
  <si>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</si>
  <si>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</si>
  <si>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</si>
  <si>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</si>
  <si>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</si>
  <si>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</si>
  <si>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</si>
  <si>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</si>
  <si>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</si>
  <si>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</si>
  <si>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</si>
  <si>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</si>
  <si>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</si>
  <si>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</si>
  <si>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</si>
  <si>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</si>
  <si>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</si>
  <si>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</si>
  <si>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</si>
  <si>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</si>
  <si>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</si>
  <si>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</si>
  <si>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</si>
  <si>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</si>
  <si>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</si>
  <si>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</si>
  <si>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</si>
  <si>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</si>
  <si>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</si>
  <si>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</si>
  <si>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</si>
  <si>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</si>
  <si>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</si>
  <si>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</si>
  <si>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</si>
  <si>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</si>
  <si>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</si>
  <si>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</si>
  <si>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</si>
  <si>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</si>
  <si>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SIMPLIFIED PART 23 AIRCRAFT LOADS</t>
  </si>
  <si>
    <t>(FAA, TITLE 14, CHAPTER 1, SUB CHAPTER C, PART 23)</t>
  </si>
  <si>
    <t>Definition of Terms</t>
  </si>
  <si>
    <t>n₁ =</t>
  </si>
  <si>
    <t>n₂ =</t>
  </si>
  <si>
    <t>n₃ =</t>
  </si>
  <si>
    <t>n₄ =</t>
  </si>
  <si>
    <t>Airplane Positive Maneuvering Limit Load Factor</t>
  </si>
  <si>
    <t>Airplane Negative Maneuvering Limit Load Factor.</t>
  </si>
  <si>
    <r>
      <t>n</t>
    </r>
    <r>
      <rPr>
        <vertAlign val="subscript"/>
        <sz val="10"/>
        <color theme="1"/>
        <rFont val="Calibri"/>
        <family val="2"/>
        <scheme val="minor"/>
      </rPr>
      <t>flap</t>
    </r>
    <r>
      <rPr>
        <sz val="10"/>
        <color theme="1"/>
        <rFont val="Calibri"/>
        <family val="2"/>
        <scheme val="minor"/>
      </rPr>
      <t xml:space="preserve"> =</t>
    </r>
  </si>
  <si>
    <r>
      <t>Airplane Positive Gust Limit Load Factor at V</t>
    </r>
    <r>
      <rPr>
        <vertAlign val="subscript"/>
        <sz val="10"/>
        <color theme="1"/>
        <rFont val="Calibri"/>
        <family val="2"/>
        <scheme val="minor"/>
      </rPr>
      <t>C</t>
    </r>
    <r>
      <rPr>
        <sz val="10"/>
        <color theme="1"/>
        <rFont val="Calibri"/>
        <family val="2"/>
        <scheme val="minor"/>
      </rPr>
      <t>.</t>
    </r>
  </si>
  <si>
    <r>
      <t>Airplane Negative Gust Limit Load Factor at V</t>
    </r>
    <r>
      <rPr>
        <vertAlign val="subscript"/>
        <sz val="10"/>
        <color theme="1"/>
        <rFont val="Calibri"/>
        <family val="2"/>
        <scheme val="minor"/>
      </rPr>
      <t>C</t>
    </r>
    <r>
      <rPr>
        <sz val="10"/>
        <color theme="1"/>
        <rFont val="Calibri"/>
        <family val="2"/>
        <scheme val="minor"/>
      </rPr>
      <t>.</t>
    </r>
  </si>
  <si>
    <r>
      <t>Airplane Positive Limit Load Factor With Flaps Fully Extended at V</t>
    </r>
    <r>
      <rPr>
        <vertAlign val="subscript"/>
        <sz val="10"/>
        <color theme="1"/>
        <rFont val="Calibri"/>
        <family val="2"/>
        <scheme val="minor"/>
      </rPr>
      <t>F</t>
    </r>
  </si>
  <si>
    <t>W =</t>
  </si>
  <si>
    <t>S =</t>
  </si>
  <si>
    <t>lb (Aircraft Maximum Weight)</t>
  </si>
  <si>
    <t>ft² (Wing Area)</t>
  </si>
  <si>
    <t>W/S =</t>
  </si>
  <si>
    <t>Select Aircraft Category:</t>
  </si>
  <si>
    <t>Acrobatic</t>
  </si>
  <si>
    <t>Utility</t>
  </si>
  <si>
    <t>Normal</t>
  </si>
  <si>
    <r>
      <t>V</t>
    </r>
    <r>
      <rPr>
        <vertAlign val="subscript"/>
        <sz val="10"/>
        <color theme="1"/>
        <rFont val="Calibri"/>
        <family val="2"/>
        <scheme val="minor"/>
      </rPr>
      <t>Fmin</t>
    </r>
    <r>
      <rPr>
        <sz val="10"/>
        <color theme="1"/>
        <rFont val="Calibri"/>
        <family val="2"/>
        <scheme val="minor"/>
      </rPr>
      <t xml:space="preserve"> =</t>
    </r>
  </si>
  <si>
    <r>
      <t>V</t>
    </r>
    <r>
      <rPr>
        <vertAlign val="subscript"/>
        <sz val="10"/>
        <color theme="1"/>
        <rFont val="Calibri"/>
        <family val="2"/>
        <scheme val="minor"/>
      </rPr>
      <t>Amin</t>
    </r>
    <r>
      <rPr>
        <sz val="10"/>
        <color theme="1"/>
        <rFont val="Calibri"/>
        <family val="2"/>
        <scheme val="minor"/>
      </rPr>
      <t xml:space="preserve"> =</t>
    </r>
  </si>
  <si>
    <r>
      <t>V</t>
    </r>
    <r>
      <rPr>
        <vertAlign val="subscript"/>
        <sz val="10"/>
        <color theme="1"/>
        <rFont val="Calibri"/>
        <family val="2"/>
        <scheme val="minor"/>
      </rPr>
      <t>Cmin</t>
    </r>
    <r>
      <rPr>
        <sz val="10"/>
        <color theme="1"/>
        <rFont val="Calibri"/>
        <family val="2"/>
        <scheme val="minor"/>
      </rPr>
      <t xml:space="preserve"> =</t>
    </r>
  </si>
  <si>
    <r>
      <t>V</t>
    </r>
    <r>
      <rPr>
        <vertAlign val="subscript"/>
        <sz val="10"/>
        <color theme="1"/>
        <rFont val="Calibri"/>
        <family val="2"/>
        <scheme val="minor"/>
      </rPr>
      <t>Dmin</t>
    </r>
    <r>
      <rPr>
        <sz val="10"/>
        <color theme="1"/>
        <rFont val="Calibri"/>
        <family val="2"/>
        <scheme val="minor"/>
      </rPr>
      <t xml:space="preserve"> =</t>
    </r>
  </si>
  <si>
    <t>kts</t>
  </si>
  <si>
    <t>Determination of Minimum Design Speeds</t>
  </si>
  <si>
    <r>
      <t>V</t>
    </r>
    <r>
      <rPr>
        <vertAlign val="subscript"/>
        <sz val="10"/>
        <color theme="1"/>
        <rFont val="Calibri"/>
        <family val="2"/>
        <scheme val="minor"/>
      </rPr>
      <t>Fsel</t>
    </r>
    <r>
      <rPr>
        <sz val="10"/>
        <color theme="1"/>
        <rFont val="Calibri"/>
        <family val="2"/>
        <scheme val="minor"/>
      </rPr>
      <t xml:space="preserve"> =</t>
    </r>
  </si>
  <si>
    <r>
      <t>V</t>
    </r>
    <r>
      <rPr>
        <vertAlign val="subscript"/>
        <sz val="10"/>
        <color theme="1"/>
        <rFont val="Calibri"/>
        <family val="2"/>
        <scheme val="minor"/>
      </rPr>
      <t>Asel</t>
    </r>
    <r>
      <rPr>
        <sz val="10"/>
        <color theme="1"/>
        <rFont val="Calibri"/>
        <family val="2"/>
        <scheme val="minor"/>
      </rPr>
      <t xml:space="preserve"> =</t>
    </r>
  </si>
  <si>
    <r>
      <t>V</t>
    </r>
    <r>
      <rPr>
        <vertAlign val="subscript"/>
        <sz val="10"/>
        <color theme="1"/>
        <rFont val="Calibri"/>
        <family val="2"/>
        <scheme val="minor"/>
      </rPr>
      <t>Csel</t>
    </r>
    <r>
      <rPr>
        <sz val="10"/>
        <color theme="1"/>
        <rFont val="Calibri"/>
        <family val="2"/>
        <scheme val="minor"/>
      </rPr>
      <t xml:space="preserve"> =</t>
    </r>
  </si>
  <si>
    <r>
      <t>V</t>
    </r>
    <r>
      <rPr>
        <vertAlign val="subscript"/>
        <sz val="10"/>
        <color theme="1"/>
        <rFont val="Calibri"/>
        <family val="2"/>
        <scheme val="minor"/>
      </rPr>
      <t>Dsel</t>
    </r>
    <r>
      <rPr>
        <sz val="10"/>
        <color theme="1"/>
        <rFont val="Calibri"/>
        <family val="2"/>
        <scheme val="minor"/>
      </rPr>
      <t xml:space="preserve"> =</t>
    </r>
  </si>
  <si>
    <r>
      <t>V</t>
    </r>
    <r>
      <rPr>
        <vertAlign val="subscript"/>
        <sz val="10"/>
        <color theme="1"/>
        <rFont val="Calibri"/>
        <family val="2"/>
        <scheme val="minor"/>
      </rPr>
      <t>Csel</t>
    </r>
    <r>
      <rPr>
        <sz val="10"/>
        <color theme="1"/>
        <rFont val="Calibri"/>
        <family val="2"/>
        <scheme val="minor"/>
      </rPr>
      <t xml:space="preserve"> / V</t>
    </r>
    <r>
      <rPr>
        <vertAlign val="subscript"/>
        <sz val="10"/>
        <color theme="1"/>
        <rFont val="Calibri"/>
        <family val="2"/>
        <scheme val="minor"/>
      </rPr>
      <t>Cmin</t>
    </r>
    <r>
      <rPr>
        <sz val="10"/>
        <color theme="1"/>
        <rFont val="Calibri"/>
        <family val="2"/>
        <scheme val="minor"/>
      </rPr>
      <t xml:space="preserve"> =</t>
    </r>
  </si>
  <si>
    <t>Determination of n₃ Factor</t>
  </si>
  <si>
    <t>K =</t>
  </si>
  <si>
    <t>n₁ W/S =</t>
  </si>
  <si>
    <t>=</t>
  </si>
  <si>
    <t>lb/ft² (Wing Loading - Maximum)</t>
  </si>
  <si>
    <t>lb (Aircraft Minimum Weight)</t>
  </si>
  <si>
    <t>lb/ft² (Wing Loading - Minimum)</t>
  </si>
  <si>
    <t>Maximum Weight</t>
  </si>
  <si>
    <t>Minimum Weight</t>
  </si>
  <si>
    <r>
      <t>FAR 23 Figure A1 - Chart for Finding n</t>
    </r>
    <r>
      <rPr>
        <b/>
        <vertAlign val="subscript"/>
        <sz val="10"/>
        <color theme="1"/>
        <rFont val="Calibri"/>
        <family val="2"/>
        <scheme val="minor"/>
      </rPr>
      <t>3</t>
    </r>
    <r>
      <rPr>
        <b/>
        <sz val="10"/>
        <color theme="1"/>
        <rFont val="Calibri"/>
        <family val="2"/>
        <scheme val="minor"/>
      </rPr>
      <t xml:space="preserve"> Factor At Speed V</t>
    </r>
    <r>
      <rPr>
        <b/>
        <vertAlign val="subscript"/>
        <sz val="10"/>
        <color theme="1"/>
        <rFont val="Calibri"/>
        <family val="2"/>
        <scheme val="minor"/>
      </rPr>
      <t>c</t>
    </r>
  </si>
  <si>
    <t>n₃/n₁ =</t>
  </si>
  <si>
    <r>
      <t>FAR 23 Figure A2 - Chart for Finding n</t>
    </r>
    <r>
      <rPr>
        <b/>
        <vertAlign val="subscript"/>
        <sz val="10"/>
        <color theme="1"/>
        <rFont val="Calibri"/>
        <family val="2"/>
        <scheme val="minor"/>
      </rPr>
      <t>3</t>
    </r>
    <r>
      <rPr>
        <b/>
        <sz val="10"/>
        <color theme="1"/>
        <rFont val="Calibri"/>
        <family val="2"/>
        <scheme val="minor"/>
      </rPr>
      <t xml:space="preserve"> Factor At Speed V</t>
    </r>
    <r>
      <rPr>
        <b/>
        <vertAlign val="subscript"/>
        <sz val="10"/>
        <color theme="1"/>
        <rFont val="Calibri"/>
        <family val="2"/>
        <scheme val="minor"/>
      </rPr>
      <t>c</t>
    </r>
  </si>
  <si>
    <t>n₄/n₁ =</t>
  </si>
  <si>
    <t>n =</t>
  </si>
  <si>
    <t>V =</t>
  </si>
  <si>
    <t>Point C:</t>
  </si>
  <si>
    <t>Point G:</t>
  </si>
  <si>
    <t>Point F:</t>
  </si>
  <si>
    <t>Point E:</t>
  </si>
  <si>
    <t>Point D:</t>
  </si>
  <si>
    <t>Point A:</t>
  </si>
  <si>
    <t>Flight Envelope, Maximum Weight</t>
  </si>
  <si>
    <t>Flight Envelope, Minimum Weight</t>
  </si>
  <si>
    <t>Control Surface Loading</t>
  </si>
  <si>
    <t>FAR 23 Figure A5 - Average Limit Control Surface Loading</t>
  </si>
  <si>
    <t>Average limit Horizontal Tail Loading =</t>
  </si>
  <si>
    <t>Average limit Vertcal Tail Loading =</t>
  </si>
  <si>
    <t>lb/ft²</t>
  </si>
  <si>
    <t>Average limit Tab Loading =</t>
  </si>
  <si>
    <t>Average limit Flap Loading =</t>
  </si>
  <si>
    <t>Average limit Aileron Loading =</t>
  </si>
  <si>
    <t>(1)</t>
  </si>
  <si>
    <t>(2)</t>
  </si>
  <si>
    <t>(3)</t>
  </si>
  <si>
    <t>(4)</t>
  </si>
  <si>
    <t>(5)</t>
  </si>
  <si>
    <t>http://www.abbottaerospace.com/subscribe</t>
  </si>
  <si>
    <t>http://www.xl-viking.com/download-free-trial/</t>
  </si>
  <si>
    <t>http://www.abbottaerospace.com/engineering-services</t>
  </si>
  <si>
    <t>To display formula values or variables using the xln &amp; xlv functions, you need the XL-Viking add-in.</t>
  </si>
  <si>
    <t>The free version is available here:</t>
  </si>
  <si>
    <t>www.XL-Viking.com</t>
  </si>
  <si>
    <t>Aileron Layout</t>
  </si>
  <si>
    <t>w =</t>
  </si>
  <si>
    <r>
      <t>V</t>
    </r>
    <r>
      <rPr>
        <vertAlign val="subscript"/>
        <sz val="10"/>
        <color theme="1"/>
        <rFont val="Calibri"/>
        <family val="2"/>
        <scheme val="minor"/>
      </rPr>
      <t>A</t>
    </r>
    <r>
      <rPr>
        <sz val="10"/>
        <color theme="1"/>
        <rFont val="Calibri"/>
        <family val="2"/>
        <scheme val="minor"/>
      </rPr>
      <t xml:space="preserve"> min =</t>
    </r>
  </si>
  <si>
    <r>
      <t>V</t>
    </r>
    <r>
      <rPr>
        <vertAlign val="subscript"/>
        <sz val="10"/>
        <color theme="1"/>
        <rFont val="Calibri"/>
        <family val="2"/>
        <scheme val="minor"/>
      </rPr>
      <t>A</t>
    </r>
    <r>
      <rPr>
        <sz val="10"/>
        <color theme="1"/>
        <rFont val="Calibri"/>
        <family val="2"/>
        <scheme val="minor"/>
      </rPr>
      <t xml:space="preserve"> sel =</t>
    </r>
  </si>
  <si>
    <r>
      <t>V</t>
    </r>
    <r>
      <rPr>
        <vertAlign val="subscript"/>
        <sz val="10"/>
        <color theme="1"/>
        <rFont val="Calibri"/>
        <family val="2"/>
        <scheme val="minor"/>
      </rPr>
      <t>C</t>
    </r>
    <r>
      <rPr>
        <sz val="10"/>
        <color theme="1"/>
        <rFont val="Calibri"/>
        <family val="2"/>
        <scheme val="minor"/>
      </rPr>
      <t xml:space="preserve"> min =</t>
    </r>
  </si>
  <si>
    <r>
      <t>V</t>
    </r>
    <r>
      <rPr>
        <vertAlign val="subscript"/>
        <sz val="10"/>
        <color theme="1"/>
        <rFont val="Calibri"/>
        <family val="2"/>
        <scheme val="minor"/>
      </rPr>
      <t>C</t>
    </r>
    <r>
      <rPr>
        <sz val="10"/>
        <color theme="1"/>
        <rFont val="Calibri"/>
        <family val="2"/>
        <scheme val="minor"/>
      </rPr>
      <t xml:space="preserve"> sel =</t>
    </r>
  </si>
  <si>
    <t>Load Factor =</t>
  </si>
  <si>
    <t>Aileron Loading</t>
  </si>
  <si>
    <t>Maximum Load Increase Factor:</t>
  </si>
  <si>
    <t>Average Load based on minimum speed</t>
  </si>
  <si>
    <t>Average Load corrected to selected speed</t>
  </si>
  <si>
    <t>Inboard</t>
  </si>
  <si>
    <t>Chord</t>
  </si>
  <si>
    <t>Length =</t>
  </si>
  <si>
    <t>Outboard</t>
  </si>
  <si>
    <t>ft</t>
  </si>
  <si>
    <t>Distance from leading edge</t>
  </si>
  <si>
    <t>Hinge line position at outboard</t>
  </si>
  <si>
    <t>in</t>
  </si>
  <si>
    <t>Aileron Span =</t>
  </si>
  <si>
    <t>Aileron Area =</t>
  </si>
  <si>
    <t>ft²</t>
  </si>
  <si>
    <t>lb</t>
  </si>
  <si>
    <t>Total Aileron Load =</t>
  </si>
  <si>
    <t>Strip</t>
  </si>
  <si>
    <t>Start</t>
  </si>
  <si>
    <t>End</t>
  </si>
  <si>
    <t>Mid</t>
  </si>
  <si>
    <t>Position</t>
  </si>
  <si>
    <t>Chord @</t>
  </si>
  <si>
    <t>m =</t>
  </si>
  <si>
    <t>c =</t>
  </si>
  <si>
    <t>Hinge</t>
  </si>
  <si>
    <t>Mid Strip</t>
  </si>
  <si>
    <t>Dist @</t>
  </si>
  <si>
    <t>(ft)</t>
  </si>
  <si>
    <t>Area</t>
  </si>
  <si>
    <t>Fwd of</t>
  </si>
  <si>
    <t>Line</t>
  </si>
  <si>
    <t>Strip Width =</t>
  </si>
  <si>
    <t>Aft of</t>
  </si>
  <si>
    <t>(ft²)</t>
  </si>
  <si>
    <t>Σ Fwd and Aft Areas =</t>
  </si>
  <si>
    <t>Σ Total Area =</t>
  </si>
  <si>
    <t>Load</t>
  </si>
  <si>
    <t>(lb)</t>
  </si>
  <si>
    <t>For Unit Pressure (1lb/ft²)</t>
  </si>
  <si>
    <t>Moment</t>
  </si>
  <si>
    <t>Incremental</t>
  </si>
  <si>
    <t>Cumulative</t>
  </si>
  <si>
    <t>Factor =</t>
  </si>
  <si>
    <t>Load Based on Area</t>
  </si>
  <si>
    <t>Loads Factored to</t>
  </si>
  <si>
    <t>per</t>
  </si>
  <si>
    <t>Unit Span</t>
  </si>
  <si>
    <t>(lb/ft)</t>
  </si>
  <si>
    <t>(ftlb)</t>
  </si>
  <si>
    <t>(ftlb/ft)</t>
  </si>
  <si>
    <t>Incremental Load per Unit Span</t>
  </si>
  <si>
    <t>Incremental Moment per Unit Span</t>
  </si>
  <si>
    <t>Total Perpendicular Load on Aileron =</t>
  </si>
  <si>
    <t>Total Moment around Hinge Line on Aileron =</t>
  </si>
  <si>
    <t>ftlb</t>
  </si>
  <si>
    <t>Moment resolved around Hinge Line.</t>
  </si>
  <si>
    <t>Trailing Edge</t>
  </si>
  <si>
    <t>Load Chordwise Distribution per part 23 Appendix A, Table II</t>
  </si>
  <si>
    <t>Design Speeds</t>
  </si>
  <si>
    <t>Aileron Surface Loads</t>
  </si>
  <si>
    <t>Elevator Surface Loads</t>
  </si>
  <si>
    <t>Elevator Loading</t>
  </si>
  <si>
    <t>Average Load based on minimum speed, Horizontal Surface Load</t>
  </si>
  <si>
    <t>Elevator Area =</t>
  </si>
  <si>
    <t>ft² (One Side Only)</t>
  </si>
  <si>
    <t>Leading Edge</t>
  </si>
  <si>
    <t>3w</t>
  </si>
  <si>
    <t>C</t>
  </si>
  <si>
    <t>H-Stab</t>
  </si>
  <si>
    <t>H-stab</t>
  </si>
  <si>
    <t>x</t>
  </si>
  <si>
    <t>x locations within Elevator Planform</t>
  </si>
  <si>
    <t>x cell size =</t>
  </si>
  <si>
    <t>Elevator</t>
  </si>
  <si>
    <t>Length</t>
  </si>
  <si>
    <t>Load on each cell</t>
  </si>
  <si>
    <t>Total Perpendicular Load on Elevator =</t>
  </si>
  <si>
    <t>Total Moment around Hinge Line on Elevator =</t>
  </si>
  <si>
    <t>Up</t>
  </si>
  <si>
    <t>Average Load based on minimum speed, Vertical Surface Load</t>
  </si>
  <si>
    <t>V-Stab</t>
  </si>
  <si>
    <t>Rudder Surface Loads</t>
  </si>
  <si>
    <t>Rudder</t>
  </si>
  <si>
    <t>x locations within Rudder Planform</t>
  </si>
  <si>
    <t>Rudder Loading</t>
  </si>
  <si>
    <t>Rudder Span =</t>
  </si>
  <si>
    <t>Rudder Area =</t>
  </si>
  <si>
    <t>Total Perpendicular Load on Rudder =</t>
  </si>
  <si>
    <t>Total Moment around Hinge Line on Rudder =</t>
  </si>
  <si>
    <t>Rudder Layout</t>
  </si>
  <si>
    <t>d</t>
  </si>
  <si>
    <t>Flap Surface Loads</t>
  </si>
  <si>
    <t>Flap Loading</t>
  </si>
  <si>
    <t>Flap Span =</t>
  </si>
  <si>
    <t>Flap Area =</t>
  </si>
  <si>
    <t>Total Flap Load =</t>
  </si>
  <si>
    <t>Total Perpendicular Load on Flap =</t>
  </si>
  <si>
    <t>Flap Layout - Note, the torsion is resolved around an axis at the leading edge of the flap</t>
  </si>
  <si>
    <t>Total Moment around Reference Axis on Flap =</t>
  </si>
  <si>
    <t>Moment resolved around Reference Axis.</t>
  </si>
  <si>
    <t>Up-Load on Flap</t>
  </si>
  <si>
    <t>Up Load</t>
  </si>
  <si>
    <t>Down Load</t>
  </si>
  <si>
    <t>Tab Surface Loads</t>
  </si>
  <si>
    <t>Tab Loading</t>
  </si>
  <si>
    <t>Tab Layout - Note, the torsion is resolved around an axis at the leading edge of the Tab</t>
  </si>
  <si>
    <t>Tab Area =</t>
  </si>
  <si>
    <t>Total Tab Load =</t>
  </si>
  <si>
    <t>Up-Load on Tab</t>
  </si>
  <si>
    <t>Total Perpendicular Load on Tab =</t>
  </si>
  <si>
    <t>Total Moment around Reference Axis on Tab =</t>
  </si>
  <si>
    <t>Tab Half Span =</t>
  </si>
  <si>
    <t>Tab Full Span =</t>
  </si>
  <si>
    <t>Half Span</t>
  </si>
  <si>
    <t>Full Span</t>
  </si>
  <si>
    <t>Hinge line position at BL=0</t>
  </si>
  <si>
    <t>BL=0</t>
  </si>
  <si>
    <t>Elevator Half Span =</t>
  </si>
  <si>
    <t>Elevator Layout</t>
  </si>
  <si>
    <t>H-Stab Chord</t>
  </si>
  <si>
    <t>Elevator Full Span =</t>
  </si>
  <si>
    <t>Elevator Load =</t>
  </si>
  <si>
    <t>Note that Aileron loads and moments are considered reversible.</t>
  </si>
  <si>
    <t>Note that Elevator loads and moments are considered reversible.</t>
  </si>
  <si>
    <t>Note that Tab loads and moments are considered reversible.</t>
  </si>
  <si>
    <t>Note that Rudder loads and moments are considered reversible.</t>
  </si>
  <si>
    <t>Down-Load on Flap (0.25 x Up-Load)</t>
  </si>
  <si>
    <t>AA-SM-515-000</t>
  </si>
  <si>
    <t>05/03/2017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</si>
</sst>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
  </numFmts>
  <fonts count="32"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vertAlign val="subscript"/>
      <sz val="10"/>
      <color theme="1"/>
      <name val="Calibri"/>
      <family val="2"/>
      <scheme val="minor"/>
    </font>
    <font>
      <sz val="10"/>
      <color rgb="FF0000FF"/>
      <name val="Calibri"/>
      <family val="2"/>
      <scheme val="minor"/>
    </font>
    <font>
      <sz val="9"/>
      <color rgb="FF595959"/>
      <name val="Arial"/>
      <family val="2"/>
    </font>
    <font>
      <b/>
      <vertAlign val="subscript"/>
      <sz val="10"/>
      <color theme="1"/>
      <name val="Calibri"/>
      <family val="2"/>
      <scheme val="minor"/>
    </font>
    <font>
      <sz val="10"/>
      <name val="Times New Roman"/>
      <family val="1"/>
    </font>
    <font>
      <b/>
      <sz val="10"/>
      <color rgb="FFFF0000"/>
      <name val="Times New Roman"/>
      <family val="1"/>
    </font>
    <font>
      <u/>
      <sz val="10"/>
      <color theme="10"/>
      <name val="Arial"/>
      <family val="2"/>
    </font>
    <font>
      <u/>
      <sz val="10"/>
      <color theme="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
      <sz val="8"/>
      <color theme="1"/>
      <name val="Calibri"/>
      <family val="2"/>
      <scheme val="minor"/>
    </font>
    <font>
      <sz val="10"/>
      <color rgb="FF0000CC"/>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23" fillId="0" borderId="0" applyNumberFormat="0" applyFill="0" applyBorder="0" applyAlignment="0" applyProtection="0"/>
  </cellStyleXfs>
  <cellXfs count="202">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1" applyFont="1"/>
    <xf numFmtId="0" fontId="15" fillId="0" borderId="0" xfId="2" applyFont="1" applyAlignment="1">
      <alignment horizontal="right"/>
    </xf>
    <xf numFmtId="0" fontId="15" fillId="0" borderId="0" xfId="0" applyFont="1"/>
    <xf numFmtId="2" fontId="15" fillId="0" borderId="0" xfId="2" applyNumberFormat="1"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pplyProtection="1">
      <alignment horizontal="center"/>
    </xf>
    <xf numFmtId="1" fontId="15" fillId="0" borderId="0" xfId="2" applyNumberFormat="1" applyFont="1" applyAlignment="1">
      <alignment horizontal="center"/>
    </xf>
    <xf numFmtId="0" fontId="15" fillId="0" borderId="0" xfId="2" applyFont="1" applyAlignment="1"/>
    <xf numFmtId="165" fontId="15" fillId="0" borderId="0" xfId="2" applyNumberFormat="1" applyFont="1" applyAlignment="1">
      <alignment horizontal="center"/>
    </xf>
    <xf numFmtId="0" fontId="15" fillId="0" borderId="0" xfId="2" applyFont="1" applyAlignment="1">
      <alignment horizontal="left"/>
    </xf>
    <xf numFmtId="165" fontId="15" fillId="0" borderId="0" xfId="2" applyNumberFormat="1" applyFont="1" applyFill="1" applyAlignment="1">
      <alignment horizontal="center"/>
    </xf>
    <xf numFmtId="1" fontId="15" fillId="0" borderId="0" xfId="0" applyNumberFormat="1" applyFont="1"/>
    <xf numFmtId="166" fontId="15" fillId="0" borderId="0" xfId="0" applyNumberFormat="1" applyFont="1" applyAlignment="1">
      <alignment horizontal="right"/>
    </xf>
    <xf numFmtId="0" fontId="15" fillId="0" borderId="0" xfId="0" applyFont="1" applyAlignment="1">
      <alignment vertical="top"/>
    </xf>
    <xf numFmtId="167" fontId="15" fillId="0" borderId="0" xfId="0" applyNumberFormat="1" applyFont="1"/>
    <xf numFmtId="165" fontId="15" fillId="0" borderId="0" xfId="2" applyNumberFormat="1" applyFont="1"/>
    <xf numFmtId="165" fontId="15" fillId="0" borderId="0" xfId="0" applyNumberFormat="1" applyFont="1"/>
    <xf numFmtId="0" fontId="15" fillId="0" borderId="0" xfId="2" applyFont="1" applyAlignment="1" applyProtection="1">
      <alignment horizontal="center"/>
    </xf>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164" fontId="15" fillId="0" borderId="0" xfId="2" applyNumberFormat="1" applyFont="1" applyAlignment="1">
      <alignment horizontal="left"/>
    </xf>
    <xf numFmtId="0" fontId="18" fillId="0" borderId="0" xfId="2" applyFont="1" applyAlignment="1">
      <alignment horizontal="right"/>
    </xf>
    <xf numFmtId="0" fontId="15" fillId="0" borderId="0" xfId="2" applyFont="1" applyBorder="1" applyAlignment="1">
      <alignment horizontal="right"/>
    </xf>
    <xf numFmtId="165" fontId="15" fillId="0" borderId="0" xfId="2" applyNumberFormat="1" applyFont="1" applyAlignment="1">
      <alignment horizontal="right"/>
    </xf>
    <xf numFmtId="165" fontId="18" fillId="0" borderId="0" xfId="2" applyNumberFormat="1" applyFont="1" applyAlignment="1">
      <alignment horizontal="right"/>
    </xf>
    <xf numFmtId="2" fontId="18" fillId="0" borderId="0" xfId="2" applyNumberFormat="1" applyFont="1" applyAlignment="1">
      <alignment horizontal="right"/>
    </xf>
    <xf numFmtId="0" fontId="18" fillId="0" borderId="0" xfId="0" applyFont="1"/>
    <xf numFmtId="0" fontId="3" fillId="0" borderId="0" xfId="0" applyFont="1" applyAlignment="1">
      <alignment horizontal="left"/>
    </xf>
    <xf numFmtId="1" fontId="15" fillId="0" borderId="0" xfId="0" applyNumberFormat="1" applyFont="1" applyAlignment="1">
      <alignment horizontal="right"/>
    </xf>
    <xf numFmtId="165" fontId="15" fillId="0" borderId="0" xfId="2" applyNumberFormat="1" applyFont="1" applyFill="1" applyAlignment="1">
      <alignment horizontal="left"/>
    </xf>
    <xf numFmtId="165" fontId="15" fillId="0" borderId="0" xfId="0" applyNumberFormat="1" applyFont="1" applyAlignment="1">
      <alignment horizontal="right"/>
    </xf>
    <xf numFmtId="165" fontId="18" fillId="0" borderId="0" xfId="0" applyNumberFormat="1" applyFont="1" applyAlignment="1">
      <alignment horizontal="right"/>
    </xf>
    <xf numFmtId="2" fontId="15" fillId="0" borderId="0" xfId="2" applyNumberFormat="1" applyFont="1" applyAlignment="1">
      <alignment horizontal="left"/>
    </xf>
    <xf numFmtId="0" fontId="16" fillId="0" borderId="0" xfId="1" applyFont="1"/>
    <xf numFmtId="2" fontId="15" fillId="0" borderId="0" xfId="0" applyNumberFormat="1" applyFont="1" applyAlignment="1">
      <alignment horizontal="left"/>
    </xf>
    <xf numFmtId="2" fontId="3" fillId="0" borderId="0" xfId="2" applyNumberFormat="1" applyFont="1" applyAlignment="1">
      <alignment horizontal="right"/>
    </xf>
    <xf numFmtId="2" fontId="19" fillId="0" borderId="0" xfId="0" applyNumberFormat="1" applyFont="1" applyAlignment="1">
      <alignment horizontal="center" vertical="center" readingOrder="1"/>
    </xf>
    <xf numFmtId="0" fontId="3" fillId="0" borderId="0" xfId="2" applyFont="1" applyBorder="1" applyAlignment="1">
      <alignment horizontal="left" vertical="top" wrapText="1"/>
    </xf>
    <xf numFmtId="0" fontId="11" fillId="0" borderId="0" xfId="4" applyBorder="1" applyAlignment="1" applyProtection="1">
      <alignment horizontal="center"/>
    </xf>
    <xf numFmtId="0" fontId="16" fillId="0" borderId="0" xfId="2" applyFont="1" applyBorder="1" applyAlignment="1"/>
    <xf numFmtId="165" fontId="5" fillId="0" borderId="0" xfId="0" applyNumberFormat="1" applyFont="1" applyBorder="1" applyAlignment="1">
      <alignment horizontal="center"/>
    </xf>
    <xf numFmtId="165" fontId="5" fillId="0" borderId="0" xfId="2" applyNumberFormat="1" applyFont="1" applyBorder="1" applyAlignment="1">
      <alignment horizontal="center"/>
    </xf>
    <xf numFmtId="165" fontId="5" fillId="0" borderId="0" xfId="2" applyNumberFormat="1" applyFont="1" applyAlignment="1">
      <alignment horizontal="center"/>
    </xf>
    <xf numFmtId="165" fontId="5" fillId="0" borderId="0" xfId="1" applyNumberFormat="1" applyFont="1" applyAlignment="1">
      <alignment horizontal="center"/>
    </xf>
    <xf numFmtId="2" fontId="15" fillId="0" borderId="0" xfId="0" applyNumberFormat="1" applyFont="1" applyAlignment="1">
      <alignment vertical="top"/>
    </xf>
    <xf numFmtId="2" fontId="15" fillId="0" borderId="0" xfId="2" quotePrefix="1" applyNumberFormat="1" applyFont="1" applyAlignment="1">
      <alignment horizontal="right"/>
    </xf>
    <xf numFmtId="0" fontId="21" fillId="0" borderId="0" xfId="1" applyFont="1"/>
    <xf numFmtId="0" fontId="21" fillId="0" borderId="0" xfId="1" quotePrefix="1" applyFont="1"/>
    <xf numFmtId="165" fontId="21" fillId="0" borderId="0" xfId="1" applyNumberFormat="1" applyFont="1" applyAlignment="1">
      <alignment horizontal="left"/>
    </xf>
    <xf numFmtId="0" fontId="21" fillId="0" borderId="0" xfId="1" applyFont="1" applyAlignment="1">
      <alignment horizontal="right"/>
    </xf>
    <xf numFmtId="2" fontId="21" fillId="0" borderId="0" xfId="1" applyNumberFormat="1" applyFont="1" applyAlignment="1">
      <alignment horizontal="right"/>
    </xf>
    <xf numFmtId="165" fontId="21" fillId="0" borderId="0" xfId="1" applyNumberFormat="1" applyFont="1"/>
    <xf numFmtId="2" fontId="21" fillId="0" borderId="0" xfId="1" applyNumberFormat="1" applyFont="1"/>
    <xf numFmtId="2" fontId="22" fillId="0" borderId="0" xfId="1" applyNumberFormat="1" applyFont="1"/>
    <xf numFmtId="0" fontId="3" fillId="0" borderId="0" xfId="0" applyFont="1" applyAlignment="1">
      <alignment horizontal="right"/>
    </xf>
    <xf numFmtId="2" fontId="15" fillId="0" borderId="0" xfId="0" applyNumberFormat="1" applyFont="1" applyAlignment="1">
      <alignment horizontal="right"/>
    </xf>
    <xf numFmtId="0" fontId="16" fillId="0" borderId="0" xfId="2" quotePrefix="1" applyFont="1" applyAlignment="1">
      <alignment horizontal="right"/>
    </xf>
    <xf numFmtId="0" fontId="16" fillId="0" borderId="0" xfId="0" quotePrefix="1" applyFont="1" applyAlignment="1">
      <alignment horizontal="right"/>
    </xf>
    <xf numFmtId="0" fontId="5" fillId="0" borderId="0" xfId="0" quotePrefix="1" applyFont="1" applyAlignment="1">
      <alignment horizontal="right"/>
    </xf>
    <xf numFmtId="0" fontId="5" fillId="0" borderId="0" xfId="0" applyFont="1" applyAlignment="1">
      <alignment horizontal="right"/>
    </xf>
    <xf numFmtId="0" fontId="16" fillId="0" borderId="0" xfId="0" applyFont="1" applyAlignment="1">
      <alignment horizontal="right"/>
    </xf>
    <xf numFmtId="1" fontId="16" fillId="0" borderId="0" xfId="0" quotePrefix="1" applyNumberFormat="1" applyFont="1" applyAlignment="1">
      <alignment horizontal="right"/>
    </xf>
    <xf numFmtId="0" fontId="24" fillId="0" borderId="0" xfId="7" applyFont="1" applyBorder="1" applyAlignment="1" applyProtection="1">
      <alignment horizontal="center"/>
    </xf>
    <xf numFmtId="0" fontId="23" fillId="0" borderId="0" xfId="7" applyBorder="1" applyAlignment="1">
      <alignment horizontal="center"/>
    </xf>
    <xf numFmtId="0" fontId="25" fillId="0" borderId="0" xfId="1" applyFont="1" applyAlignment="1">
      <alignment horizontal="centerContinuous"/>
    </xf>
    <xf numFmtId="0" fontId="25" fillId="0" borderId="0" xfId="0" applyFont="1" applyAlignment="1">
      <alignment horizontal="centerContinuous"/>
    </xf>
    <xf numFmtId="0" fontId="26" fillId="0" borderId="0" xfId="0" applyFont="1" applyAlignment="1">
      <alignment horizontal="centerContinuous"/>
    </xf>
    <xf numFmtId="0" fontId="27" fillId="0" borderId="0" xfId="0" applyFont="1" applyBorder="1" applyAlignment="1" applyProtection="1">
      <alignment horizontal="centerContinuous"/>
      <protection locked="0"/>
    </xf>
    <xf numFmtId="0" fontId="25" fillId="0" borderId="0" xfId="0" applyFont="1"/>
    <xf numFmtId="0" fontId="25" fillId="0" borderId="0" xfId="0" applyFont="1" applyBorder="1" applyProtection="1">
      <protection locked="0"/>
    </xf>
    <xf numFmtId="0" fontId="28" fillId="0" borderId="0" xfId="0" applyFont="1" applyBorder="1" applyAlignment="1" applyProtection="1">
      <alignment horizontal="right"/>
      <protection locked="0"/>
    </xf>
    <xf numFmtId="0" fontId="29" fillId="0" borderId="0" xfId="4" applyFont="1" applyBorder="1" applyAlignment="1" applyProtection="1">
      <alignment horizontal="left"/>
      <protection locked="0"/>
    </xf>
    <xf numFmtId="0" fontId="26" fillId="0" borderId="0" xfId="0" applyFont="1"/>
    <xf numFmtId="0" fontId="26" fillId="0" borderId="0" xfId="0" applyFont="1" applyBorder="1" applyProtection="1">
      <protection locked="0"/>
    </xf>
    <xf numFmtId="0" fontId="27" fillId="0" borderId="0" xfId="0" applyFont="1" applyBorder="1" applyProtection="1">
      <protection locked="0"/>
    </xf>
    <xf numFmtId="0" fontId="15" fillId="0" borderId="1" xfId="1" applyFont="1" applyBorder="1" applyAlignment="1">
      <alignment horizontal="center"/>
    </xf>
    <xf numFmtId="0" fontId="15" fillId="0" borderId="0" xfId="0" applyFont="1" applyBorder="1"/>
    <xf numFmtId="2" fontId="15" fillId="0" borderId="0" xfId="2" applyNumberFormat="1" applyFont="1" applyAlignment="1">
      <alignment horizontal="right"/>
    </xf>
    <xf numFmtId="0" fontId="15" fillId="0" borderId="0" xfId="1" applyFont="1" applyAlignment="1">
      <alignment horizontal="center"/>
    </xf>
    <xf numFmtId="0" fontId="15" fillId="0" borderId="0" xfId="6" applyFont="1" applyAlignment="1"/>
    <xf numFmtId="2" fontId="15" fillId="0" borderId="0" xfId="2" applyNumberFormat="1" applyFont="1" applyAlignment="1">
      <alignment horizontal="center"/>
    </xf>
    <xf numFmtId="0" fontId="15" fillId="0" borderId="0" xfId="6" applyFont="1" applyAlignment="1">
      <alignment horizontal="center"/>
    </xf>
    <xf numFmtId="0" fontId="15" fillId="0" borderId="0" xfId="0" applyFont="1" applyAlignment="1">
      <alignment horizontal="left"/>
    </xf>
    <xf numFmtId="166" fontId="30" fillId="0" borderId="0" xfId="2" applyNumberFormat="1" applyFont="1" applyAlignment="1">
      <alignment horizontal="center"/>
    </xf>
    <xf numFmtId="166" fontId="30" fillId="0" borderId="0" xfId="6" applyNumberFormat="1" applyFont="1" applyAlignment="1">
      <alignment horizontal="center"/>
    </xf>
    <xf numFmtId="165" fontId="15" fillId="0" borderId="0" xfId="6" applyNumberFormat="1" applyFont="1" applyAlignment="1">
      <alignment horizontal="center"/>
    </xf>
    <xf numFmtId="2" fontId="15" fillId="0" borderId="0" xfId="2" applyNumberFormat="1" applyFont="1" applyBorder="1" applyAlignment="1"/>
    <xf numFmtId="164" fontId="15" fillId="0" borderId="0" xfId="0" applyNumberFormat="1" applyFont="1"/>
    <xf numFmtId="0" fontId="15" fillId="0" borderId="0" xfId="2" applyFont="1" applyBorder="1" applyAlignment="1">
      <alignment horizontal="left"/>
    </xf>
    <xf numFmtId="2" fontId="15" fillId="0" borderId="0" xfId="0" applyNumberFormat="1" applyFont="1"/>
    <xf numFmtId="0" fontId="15" fillId="0" borderId="0" xfId="0" applyFont="1" applyAlignment="1">
      <alignment horizontal="center"/>
    </xf>
    <xf numFmtId="2" fontId="31" fillId="0" borderId="0" xfId="2" applyNumberFormat="1" applyFont="1" applyAlignment="1">
      <alignment horizontal="center"/>
    </xf>
    <xf numFmtId="2" fontId="31" fillId="0" borderId="0" xfId="2" applyNumberFormat="1" applyFont="1" applyBorder="1" applyAlignment="1"/>
    <xf numFmtId="2" fontId="31" fillId="0" borderId="0" xfId="2" applyNumberFormat="1" applyFont="1" applyAlignment="1">
      <alignment horizontal="right"/>
    </xf>
    <xf numFmtId="1" fontId="15" fillId="0" borderId="0" xfId="2" applyNumberFormat="1" applyFont="1" applyAlignment="1">
      <alignment horizontal="right"/>
    </xf>
    <xf numFmtId="2" fontId="3" fillId="0" borderId="0" xfId="0" applyNumberFormat="1" applyFont="1"/>
    <xf numFmtId="2" fontId="3" fillId="0" borderId="0" xfId="0" applyNumberFormat="1" applyFont="1" applyAlignment="1">
      <alignment horizontal="center"/>
    </xf>
    <xf numFmtId="164" fontId="15" fillId="0" borderId="0" xfId="1" applyNumberFormat="1" applyFont="1" applyAlignment="1">
      <alignment horizontal="center"/>
    </xf>
    <xf numFmtId="0" fontId="15" fillId="0" borderId="0" xfId="1" applyFont="1" applyAlignment="1">
      <alignment horizontal="right"/>
    </xf>
    <xf numFmtId="167" fontId="15" fillId="0" borderId="0" xfId="0" applyNumberFormat="1" applyFont="1" applyAlignment="1">
      <alignment horizontal="center"/>
    </xf>
    <xf numFmtId="164" fontId="15" fillId="0" borderId="0" xfId="0" applyNumberFormat="1" applyFont="1" applyAlignment="1">
      <alignment horizontal="center"/>
    </xf>
    <xf numFmtId="164" fontId="15" fillId="0" borderId="0" xfId="6" applyNumberFormat="1" applyFont="1" applyAlignment="1">
      <alignment horizontal="center"/>
    </xf>
    <xf numFmtId="167" fontId="15" fillId="0" borderId="0" xfId="6" applyNumberFormat="1" applyFont="1" applyAlignment="1">
      <alignment horizontal="center"/>
    </xf>
    <xf numFmtId="167" fontId="15" fillId="0" borderId="0" xfId="2" applyNumberFormat="1" applyFont="1" applyAlignment="1">
      <alignment horizontal="center"/>
    </xf>
    <xf numFmtId="164" fontId="3" fillId="0" borderId="0" xfId="0" applyNumberFormat="1" applyFont="1"/>
    <xf numFmtId="167" fontId="15" fillId="0" borderId="0" xfId="2" applyNumberFormat="1" applyFont="1" applyBorder="1" applyAlignment="1">
      <alignment horizontal="center"/>
    </xf>
    <xf numFmtId="0" fontId="3" fillId="0" borderId="0" xfId="0" applyFont="1" applyAlignment="1"/>
    <xf numFmtId="2" fontId="15" fillId="0" borderId="0" xfId="0" applyNumberFormat="1" applyFont="1" applyAlignment="1">
      <alignment horizontal="center"/>
    </xf>
    <xf numFmtId="0" fontId="16" fillId="0" borderId="0" xfId="0" applyFont="1" applyAlignment="1">
      <alignment horizontal="left"/>
    </xf>
    <xf numFmtId="9" fontId="15" fillId="0" borderId="0" xfId="0" applyNumberFormat="1" applyFont="1" applyAlignment="1">
      <alignment horizontal="center"/>
    </xf>
    <xf numFmtId="164" fontId="15" fillId="0" borderId="0" xfId="0" applyNumberFormat="1" applyFont="1" applyAlignment="1">
      <alignment horizontal="right"/>
    </xf>
    <xf numFmtId="165" fontId="31" fillId="0" borderId="0" xfId="0" applyNumberFormat="1" applyFont="1"/>
    <xf numFmtId="0" fontId="5" fillId="0" borderId="0" xfId="0" applyFont="1"/>
    <xf numFmtId="164" fontId="15" fillId="0" borderId="0" xfId="0" applyNumberFormat="1" applyFont="1" applyBorder="1"/>
    <xf numFmtId="164" fontId="3" fillId="0" borderId="0" xfId="0" applyNumberFormat="1" applyFont="1" applyBorder="1"/>
    <xf numFmtId="164" fontId="3" fillId="0" borderId="0" xfId="2" applyNumberFormat="1" applyFont="1"/>
    <xf numFmtId="165" fontId="15" fillId="0" borderId="0" xfId="2" applyNumberFormat="1" applyFont="1" applyAlignment="1">
      <alignment horizontal="left"/>
    </xf>
    <xf numFmtId="2" fontId="16" fillId="0" borderId="0" xfId="2" applyNumberFormat="1" applyFont="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6.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13161978822615E-2"/>
          <c:y val="4.4770044770044773E-2"/>
          <c:w val="0.86843269753111951"/>
          <c:h val="0.82125368169671653"/>
        </c:manualLayout>
      </c:layout>
      <c:scatterChart>
        <c:scatterStyle val="lineMarker"/>
        <c:varyColors val="0"/>
        <c:ser>
          <c:idx val="0"/>
          <c:order val="0"/>
          <c:spPr>
            <a:ln w="19050" cap="rnd">
              <a:solidFill>
                <a:schemeClr val="tx1"/>
              </a:solidFill>
              <a:round/>
            </a:ln>
            <a:effectLst/>
          </c:spPr>
          <c:marker>
            <c:symbol val="none"/>
          </c:marker>
          <c:xVal>
            <c:numRef>
              <c:f>Analysis!$W$77:$W$99</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Analysis!$X$77:$X$99</c:f>
              <c:numCache>
                <c:formatCode>0.00</c:formatCode>
                <c:ptCount val="23"/>
                <c:pt idx="1">
                  <c:v>1.9177454023549534</c:v>
                </c:pt>
                <c:pt idx="2">
                  <c:v>1.7869156923480813</c:v>
                </c:pt>
                <c:pt idx="3">
                  <c:v>1.6950547256132058</c:v>
                </c:pt>
                <c:pt idx="4">
                  <c:v>1.6251078466709674</c:v>
                </c:pt>
                <c:pt idx="5">
                  <c:v>1.5690852762615055</c:v>
                </c:pt>
                <c:pt idx="6">
                  <c:v>1.5226338720264994</c:v>
                </c:pt>
                <c:pt idx="7">
                  <c:v>1.4831339545270961</c:v>
                </c:pt>
                <c:pt idx="8">
                  <c:v>1.41875890109488</c:v>
                </c:pt>
                <c:pt idx="9">
                  <c:v>1.3677516561618366</c:v>
                </c:pt>
                <c:pt idx="10">
                  <c:v>1.3257788045080106</c:v>
                </c:pt>
                <c:pt idx="11">
                  <c:v>1.2902881946679121</c:v>
                </c:pt>
                <c:pt idx="12">
                  <c:v>1.2596569555492649</c:v>
                </c:pt>
                <c:pt idx="13">
                  <c:v>1.2327926636507454</c:v>
                </c:pt>
                <c:pt idx="14">
                  <c:v>1.2089268499329702</c:v>
                </c:pt>
                <c:pt idx="15">
                  <c:v>1.1874996063668501</c:v>
                </c:pt>
                <c:pt idx="16">
                  <c:v>1.1680911096525677</c:v>
                </c:pt>
                <c:pt idx="17">
                  <c:v>1.1380540497724598</c:v>
                </c:pt>
                <c:pt idx="18">
                  <c:v>1.111985034970159</c:v>
                </c:pt>
                <c:pt idx="19">
                  <c:v>1.0890203367482558</c:v>
                </c:pt>
                <c:pt idx="20">
                  <c:v>1.0577832282237565</c:v>
                </c:pt>
                <c:pt idx="21">
                  <c:v>1.0333624923345925</c:v>
                </c:pt>
                <c:pt idx="22">
                  <c:v>1.0118704152719968</c:v>
                </c:pt>
              </c:numCache>
            </c:numRef>
          </c:yVal>
          <c:smooth val="1"/>
          <c:extLst>
            <c:ext xmlns:c16="http://schemas.microsoft.com/office/drawing/2014/chart" uri="{C3380CC4-5D6E-409C-BE32-E72D297353CC}">
              <c16:uniqueId val="{00000000-B59B-4209-9BA4-E65F0C1F7774}"/>
            </c:ext>
          </c:extLst>
        </c:ser>
        <c:ser>
          <c:idx val="1"/>
          <c:order val="1"/>
          <c:spPr>
            <a:ln w="19050" cap="rnd">
              <a:solidFill>
                <a:schemeClr val="tx1"/>
              </a:solidFill>
              <a:round/>
            </a:ln>
            <a:effectLst/>
          </c:spPr>
          <c:marker>
            <c:symbol val="none"/>
          </c:marker>
          <c:xVal>
            <c:numRef>
              <c:f>Analysis!$W$78:$W$99</c:f>
              <c:numCache>
                <c:formatCode>0.0</c:formatCode>
                <c:ptCount val="22"/>
                <c:pt idx="0">
                  <c:v>5</c:v>
                </c:pt>
                <c:pt idx="1">
                  <c:v>7</c:v>
                </c:pt>
                <c:pt idx="2">
                  <c:v>9</c:v>
                </c:pt>
                <c:pt idx="3">
                  <c:v>11</c:v>
                </c:pt>
                <c:pt idx="4">
                  <c:v>13</c:v>
                </c:pt>
                <c:pt idx="5">
                  <c:v>15</c:v>
                </c:pt>
                <c:pt idx="6">
                  <c:v>17</c:v>
                </c:pt>
                <c:pt idx="7">
                  <c:v>21</c:v>
                </c:pt>
                <c:pt idx="8">
                  <c:v>25</c:v>
                </c:pt>
                <c:pt idx="9">
                  <c:v>29</c:v>
                </c:pt>
                <c:pt idx="10">
                  <c:v>33</c:v>
                </c:pt>
                <c:pt idx="11">
                  <c:v>37</c:v>
                </c:pt>
                <c:pt idx="12">
                  <c:v>41</c:v>
                </c:pt>
                <c:pt idx="13">
                  <c:v>45</c:v>
                </c:pt>
                <c:pt idx="14">
                  <c:v>49</c:v>
                </c:pt>
                <c:pt idx="15">
                  <c:v>53</c:v>
                </c:pt>
                <c:pt idx="16">
                  <c:v>60</c:v>
                </c:pt>
                <c:pt idx="17">
                  <c:v>67</c:v>
                </c:pt>
                <c:pt idx="18">
                  <c:v>74</c:v>
                </c:pt>
                <c:pt idx="19">
                  <c:v>85</c:v>
                </c:pt>
                <c:pt idx="20">
                  <c:v>95</c:v>
                </c:pt>
                <c:pt idx="21">
                  <c:v>105</c:v>
                </c:pt>
              </c:numCache>
            </c:numRef>
          </c:xVal>
          <c:yVal>
            <c:numRef>
              <c:f>Analysis!$Y$78:$Y$99</c:f>
              <c:numCache>
                <c:formatCode>0.00</c:formatCode>
                <c:ptCount val="22"/>
                <c:pt idx="0">
                  <c:v>1.7930359227956436</c:v>
                </c:pt>
                <c:pt idx="1">
                  <c:v>1.6712762096790972</c:v>
                </c:pt>
                <c:pt idx="2">
                  <c:v>1.5857584599172345</c:v>
                </c:pt>
                <c:pt idx="3">
                  <c:v>1.5206268347464533</c:v>
                </c:pt>
                <c:pt idx="4">
                  <c:v>1.4684513432006499</c:v>
                </c:pt>
                <c:pt idx="5">
                  <c:v>1.4251830492904716</c:v>
                </c:pt>
                <c:pt idx="6">
                  <c:v>1.3883849487571391</c:v>
                </c:pt>
                <c:pt idx="7">
                  <c:v>1.328403125913582</c:v>
                </c:pt>
                <c:pt idx="8">
                  <c:v>1.2808676575440741</c:v>
                </c:pt>
                <c:pt idx="9">
                  <c:v>1.2417453430379408</c:v>
                </c:pt>
                <c:pt idx="10">
                  <c:v>1.2086604410010284</c:v>
                </c:pt>
                <c:pt idx="11">
                  <c:v>1.1801020401013891</c:v>
                </c:pt>
                <c:pt idx="12">
                  <c:v>1.1550529547630946</c:v>
                </c:pt>
                <c:pt idx="13">
                  <c:v>1.1327975631508758</c:v>
                </c:pt>
                <c:pt idx="14">
                  <c:v>1.1128144099758284</c:v>
                </c:pt>
                <c:pt idx="15">
                  <c:v>1.0947124687947876</c:v>
                </c:pt>
                <c:pt idx="16">
                  <c:v>1.066694633435104</c:v>
                </c:pt>
                <c:pt idx="17">
                  <c:v>1.0423752421082668</c:v>
                </c:pt>
                <c:pt idx="18">
                  <c:v>1.0209495735259089</c:v>
                </c:pt>
                <c:pt idx="19">
                  <c:v>0.99180242541447805</c:v>
                </c:pt>
                <c:pt idx="20">
                  <c:v>0.96901274232772328</c:v>
                </c:pt>
                <c:pt idx="21">
                  <c:v>0.94895399391118629</c:v>
                </c:pt>
              </c:numCache>
            </c:numRef>
          </c:yVal>
          <c:smooth val="1"/>
          <c:extLst>
            <c:ext xmlns:c16="http://schemas.microsoft.com/office/drawing/2014/chart" uri="{C3380CC4-5D6E-409C-BE32-E72D297353CC}">
              <c16:uniqueId val="{00000001-B59B-4209-9BA4-E65F0C1F7774}"/>
            </c:ext>
          </c:extLst>
        </c:ser>
        <c:ser>
          <c:idx val="2"/>
          <c:order val="2"/>
          <c:spPr>
            <a:ln w="19050" cap="rnd">
              <a:solidFill>
                <a:schemeClr val="tx1"/>
              </a:solidFill>
              <a:round/>
            </a:ln>
            <a:effectLst/>
          </c:spPr>
          <c:marker>
            <c:symbol val="none"/>
          </c:marker>
          <c:xVal>
            <c:numRef>
              <c:f>Analysis!$W$77:$W$99</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Analysis!$Z$77:$Z$99</c:f>
              <c:numCache>
                <c:formatCode>0.00</c:formatCode>
                <c:ptCount val="23"/>
                <c:pt idx="1">
                  <c:v>1.7001695204197738</c:v>
                </c:pt>
                <c:pt idx="2">
                  <c:v>1.5847160872654389</c:v>
                </c:pt>
                <c:pt idx="3">
                  <c:v>1.5036275436665412</c:v>
                </c:pt>
                <c:pt idx="4">
                  <c:v>1.4418692696002227</c:v>
                </c:pt>
                <c:pt idx="5">
                  <c:v>1.3923960943496203</c:v>
                </c:pt>
                <c:pt idx="6">
                  <c:v>1.3513687877734353</c:v>
                </c:pt>
                <c:pt idx="7">
                  <c:v>1.3164765649569687</c:v>
                </c:pt>
                <c:pt idx="8">
                  <c:v>1.2596013703881774</c:v>
                </c:pt>
                <c:pt idx="9">
                  <c:v>1.2145278983884049</c:v>
                </c:pt>
                <c:pt idx="10">
                  <c:v>1.1774318392152587</c:v>
                </c:pt>
                <c:pt idx="11">
                  <c:v>1.1460604978416127</c:v>
                </c:pt>
                <c:pt idx="12">
                  <c:v>1.1189812173072933</c:v>
                </c:pt>
                <c:pt idx="13">
                  <c:v>1.0952294949546475</c:v>
                </c:pt>
                <c:pt idx="14">
                  <c:v>1.0741267730275237</c:v>
                </c:pt>
                <c:pt idx="15">
                  <c:v>1.0551786038814628</c:v>
                </c:pt>
                <c:pt idx="16">
                  <c:v>1.0380142134388821</c:v>
                </c:pt>
                <c:pt idx="17">
                  <c:v>1.0114475010261146</c:v>
                </c:pt>
                <c:pt idx="18">
                  <c:v>0.98838767976799802</c:v>
                </c:pt>
                <c:pt idx="19">
                  <c:v>0.96807170716799329</c:v>
                </c:pt>
                <c:pt idx="20">
                  <c:v>0.94043417230536175</c:v>
                </c:pt>
                <c:pt idx="21">
                  <c:v>0.91882483137051052</c:v>
                </c:pt>
                <c:pt idx="22">
                  <c:v>0.89980498227435191</c:v>
                </c:pt>
              </c:numCache>
            </c:numRef>
          </c:yVal>
          <c:smooth val="1"/>
          <c:extLst>
            <c:ext xmlns:c16="http://schemas.microsoft.com/office/drawing/2014/chart" uri="{C3380CC4-5D6E-409C-BE32-E72D297353CC}">
              <c16:uniqueId val="{00000000-3A9D-47D4-842D-ABEC62B2CCE4}"/>
            </c:ext>
          </c:extLst>
        </c:ser>
        <c:ser>
          <c:idx val="3"/>
          <c:order val="3"/>
          <c:spPr>
            <a:ln w="19050" cap="rnd">
              <a:solidFill>
                <a:schemeClr val="tx1"/>
              </a:solidFill>
              <a:round/>
            </a:ln>
            <a:effectLst/>
          </c:spPr>
          <c:marker>
            <c:symbol val="none"/>
          </c:marker>
          <c:xVal>
            <c:numRef>
              <c:f>Analysis!$W$77:$W$99</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Analysis!$AA$77:$AA$99</c:f>
              <c:numCache>
                <c:formatCode>0.00</c:formatCode>
                <c:ptCount val="23"/>
                <c:pt idx="1">
                  <c:v>1.5787288403897899</c:v>
                </c:pt>
                <c:pt idx="2">
                  <c:v>1.4715220810321934</c:v>
                </c:pt>
                <c:pt idx="3">
                  <c:v>1.3962255762617883</c:v>
                </c:pt>
                <c:pt idx="4">
                  <c:v>1.3388786074859211</c:v>
                </c:pt>
                <c:pt idx="5">
                  <c:v>1.2929392304675045</c:v>
                </c:pt>
                <c:pt idx="6">
                  <c:v>1.2548424457896183</c:v>
                </c:pt>
                <c:pt idx="7">
                  <c:v>1.2224425246028996</c:v>
                </c:pt>
                <c:pt idx="8">
                  <c:v>1.1696298439318791</c:v>
                </c:pt>
                <c:pt idx="9">
                  <c:v>1.1277759056463761</c:v>
                </c:pt>
                <c:pt idx="10">
                  <c:v>1.0933295649855974</c:v>
                </c:pt>
                <c:pt idx="11">
                  <c:v>1.0641990337100689</c:v>
                </c:pt>
                <c:pt idx="12">
                  <c:v>1.0390539874996296</c:v>
                </c:pt>
                <c:pt idx="13">
                  <c:v>1.0169988167436013</c:v>
                </c:pt>
                <c:pt idx="14">
                  <c:v>0.99740343209698634</c:v>
                </c:pt>
                <c:pt idx="15">
                  <c:v>0.97980870360421557</c:v>
                </c:pt>
                <c:pt idx="16">
                  <c:v>0.9638703410503906</c:v>
                </c:pt>
                <c:pt idx="17">
                  <c:v>0.93920125095282081</c:v>
                </c:pt>
                <c:pt idx="18">
                  <c:v>0.91778855978456964</c:v>
                </c:pt>
                <c:pt idx="19">
                  <c:v>0.89892372808456522</c:v>
                </c:pt>
                <c:pt idx="20">
                  <c:v>0.8732603028549788</c:v>
                </c:pt>
                <c:pt idx="21">
                  <c:v>0.85319448627261696</c:v>
                </c:pt>
                <c:pt idx="22">
                  <c:v>0.83553319782618396</c:v>
                </c:pt>
              </c:numCache>
            </c:numRef>
          </c:yVal>
          <c:smooth val="1"/>
          <c:extLst>
            <c:ext xmlns:c16="http://schemas.microsoft.com/office/drawing/2014/chart" uri="{C3380CC4-5D6E-409C-BE32-E72D297353CC}">
              <c16:uniqueId val="{00000001-3A9D-47D4-842D-ABEC62B2CCE4}"/>
            </c:ext>
          </c:extLst>
        </c:ser>
        <c:ser>
          <c:idx val="4"/>
          <c:order val="4"/>
          <c:spPr>
            <a:ln w="19050" cap="rnd">
              <a:solidFill>
                <a:schemeClr val="tx1"/>
              </a:solidFill>
              <a:round/>
            </a:ln>
            <a:effectLst/>
          </c:spPr>
          <c:marker>
            <c:symbol val="none"/>
          </c:marker>
          <c:xVal>
            <c:numRef>
              <c:f>Analysis!$W$77:$W$99</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Analysis!$AB$77:$AB$99</c:f>
              <c:numCache>
                <c:formatCode>0.00</c:formatCode>
                <c:ptCount val="23"/>
                <c:pt idx="1">
                  <c:v>1.48586243801392</c:v>
                </c:pt>
                <c:pt idx="2">
                  <c:v>1.3849619586185349</c:v>
                </c:pt>
                <c:pt idx="3">
                  <c:v>1.314094660011095</c:v>
                </c:pt>
                <c:pt idx="4">
                  <c:v>1.2601210423396905</c:v>
                </c:pt>
                <c:pt idx="5">
                  <c:v>1.2168839816164749</c:v>
                </c:pt>
                <c:pt idx="6">
                  <c:v>1.181028184272582</c:v>
                </c:pt>
                <c:pt idx="7">
                  <c:v>1.150534140802729</c:v>
                </c:pt>
                <c:pt idx="8">
                  <c:v>1.1008280884064745</c:v>
                </c:pt>
                <c:pt idx="9">
                  <c:v>1.0614361464907069</c:v>
                </c:pt>
                <c:pt idx="10">
                  <c:v>1.0290160611629153</c:v>
                </c:pt>
                <c:pt idx="11">
                  <c:v>1.0015990905506531</c:v>
                </c:pt>
                <c:pt idx="12">
                  <c:v>0.97793316470553371</c:v>
                </c:pt>
                <c:pt idx="13">
                  <c:v>0.9571753569351541</c:v>
                </c:pt>
                <c:pt idx="14">
                  <c:v>0.93873264197363415</c:v>
                </c:pt>
                <c:pt idx="15">
                  <c:v>0.92217289750984999</c:v>
                </c:pt>
                <c:pt idx="16">
                  <c:v>0.90717208569448538</c:v>
                </c:pt>
                <c:pt idx="17">
                  <c:v>0.88395411854383132</c:v>
                </c:pt>
                <c:pt idx="18">
                  <c:v>0.86380099744430083</c:v>
                </c:pt>
                <c:pt idx="19">
                  <c:v>0.84604586172664964</c:v>
                </c:pt>
                <c:pt idx="20">
                  <c:v>0.82189204974586239</c:v>
                </c:pt>
                <c:pt idx="21">
                  <c:v>0.8030065753154042</c:v>
                </c:pt>
                <c:pt idx="22">
                  <c:v>0.78638418618934969</c:v>
                </c:pt>
              </c:numCache>
            </c:numRef>
          </c:yVal>
          <c:smooth val="1"/>
          <c:extLst>
            <c:ext xmlns:c16="http://schemas.microsoft.com/office/drawing/2014/chart" uri="{C3380CC4-5D6E-409C-BE32-E72D297353CC}">
              <c16:uniqueId val="{00000002-3A9D-47D4-842D-ABEC62B2CCE4}"/>
            </c:ext>
          </c:extLst>
        </c:ser>
        <c:ser>
          <c:idx val="5"/>
          <c:order val="5"/>
          <c:spPr>
            <a:ln w="19050" cap="rnd">
              <a:solidFill>
                <a:schemeClr val="tx1"/>
              </a:solidFill>
              <a:round/>
            </a:ln>
            <a:effectLst/>
          </c:spPr>
          <c:marker>
            <c:symbol val="none"/>
          </c:marker>
          <c:xVal>
            <c:numRef>
              <c:f>Analysis!$W$77:$W$99</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Analysis!$AC$77:$AC$99</c:f>
              <c:numCache>
                <c:formatCode>0.00</c:formatCode>
                <c:ptCount val="23"/>
                <c:pt idx="1">
                  <c:v>1.3715653273974644</c:v>
                </c:pt>
                <c:pt idx="2">
                  <c:v>1.2784264233401861</c:v>
                </c:pt>
                <c:pt idx="3">
                  <c:v>1.2130104553948566</c:v>
                </c:pt>
                <c:pt idx="4">
                  <c:v>1.1631886544674066</c:v>
                </c:pt>
                <c:pt idx="5">
                  <c:v>1.1232775214921307</c:v>
                </c:pt>
                <c:pt idx="6">
                  <c:v>1.0901798624054604</c:v>
                </c:pt>
                <c:pt idx="7">
                  <c:v>1.0620315145871344</c:v>
                </c:pt>
                <c:pt idx="8">
                  <c:v>1.0161490046828994</c:v>
                </c:pt>
                <c:pt idx="9">
                  <c:v>0.97978721214526787</c:v>
                </c:pt>
                <c:pt idx="10">
                  <c:v>0.9498609795349986</c:v>
                </c:pt>
                <c:pt idx="11">
                  <c:v>0.92455300666214124</c:v>
                </c:pt>
                <c:pt idx="12">
                  <c:v>0.90270753665126191</c:v>
                </c:pt>
                <c:pt idx="13">
                  <c:v>0.8835464833247576</c:v>
                </c:pt>
                <c:pt idx="14">
                  <c:v>0.8665224387448931</c:v>
                </c:pt>
                <c:pt idx="15">
                  <c:v>0.85123652077832301</c:v>
                </c:pt>
                <c:pt idx="16">
                  <c:v>0.83738961756414021</c:v>
                </c:pt>
                <c:pt idx="17">
                  <c:v>0.81595764788661351</c:v>
                </c:pt>
                <c:pt idx="18">
                  <c:v>0.79735476687166229</c:v>
                </c:pt>
                <c:pt idx="19">
                  <c:v>0.78096541082459969</c:v>
                </c:pt>
                <c:pt idx="20">
                  <c:v>0.75866958438079601</c:v>
                </c:pt>
                <c:pt idx="21">
                  <c:v>0.74123683875268076</c:v>
                </c:pt>
                <c:pt idx="22">
                  <c:v>0.72589309494401499</c:v>
                </c:pt>
              </c:numCache>
            </c:numRef>
          </c:yVal>
          <c:smooth val="1"/>
          <c:extLst>
            <c:ext xmlns:c16="http://schemas.microsoft.com/office/drawing/2014/chart" uri="{C3380CC4-5D6E-409C-BE32-E72D297353CC}">
              <c16:uniqueId val="{00000003-3A9D-47D4-842D-ABEC62B2CCE4}"/>
            </c:ext>
          </c:extLst>
        </c:ser>
        <c:ser>
          <c:idx val="6"/>
          <c:order val="6"/>
          <c:spPr>
            <a:ln w="31750" cap="rnd">
              <a:solidFill>
                <a:schemeClr val="tx1"/>
              </a:solidFill>
              <a:round/>
            </a:ln>
            <a:effectLst/>
          </c:spPr>
          <c:marker>
            <c:symbol val="none"/>
          </c:marker>
          <c:xVal>
            <c:numRef>
              <c:f>Analysis!$W$77:$W$99</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Analysis!$AD$77:$AD$99</c:f>
              <c:numCache>
                <c:formatCode>General</c:formatCode>
                <c:ptCount val="23"/>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numCache>
            </c:numRef>
          </c:yVal>
          <c:smooth val="0"/>
          <c:extLst>
            <c:ext xmlns:c16="http://schemas.microsoft.com/office/drawing/2014/chart" uri="{C3380CC4-5D6E-409C-BE32-E72D297353CC}">
              <c16:uniqueId val="{00000004-3A9D-47D4-842D-ABEC62B2CCE4}"/>
            </c:ext>
          </c:extLst>
        </c:ser>
        <c:ser>
          <c:idx val="7"/>
          <c:order val="7"/>
          <c:spPr>
            <a:ln w="22225" cap="rnd">
              <a:solidFill>
                <a:srgbClr val="FF0000"/>
              </a:solidFill>
              <a:round/>
            </a:ln>
            <a:effectLst/>
          </c:spPr>
          <c:marker>
            <c:symbol val="none"/>
          </c:marker>
          <c:xVal>
            <c:numRef>
              <c:f>Analysis!$AF$88:$AF$94</c:f>
              <c:numCache>
                <c:formatCode>0.000</c:formatCode>
                <c:ptCount val="7"/>
                <c:pt idx="0">
                  <c:v>48.223350253807105</c:v>
                </c:pt>
                <c:pt idx="1">
                  <c:v>48.223350253807105</c:v>
                </c:pt>
                <c:pt idx="2">
                  <c:v>0</c:v>
                </c:pt>
                <c:pt idx="4">
                  <c:v>32.791878172588831</c:v>
                </c:pt>
                <c:pt idx="5">
                  <c:v>32.791878172588831</c:v>
                </c:pt>
                <c:pt idx="6">
                  <c:v>0</c:v>
                </c:pt>
              </c:numCache>
            </c:numRef>
          </c:xVal>
          <c:yVal>
            <c:numRef>
              <c:f>Analysis!$AG$88:$AG$94</c:f>
              <c:numCache>
                <c:formatCode>0.000</c:formatCode>
                <c:ptCount val="7"/>
                <c:pt idx="0">
                  <c:v>0</c:v>
                </c:pt>
                <c:pt idx="1">
                  <c:v>1.09069964649039</c:v>
                </c:pt>
                <c:pt idx="2">
                  <c:v>1.09069964649039</c:v>
                </c:pt>
                <c:pt idx="4">
                  <c:v>0</c:v>
                </c:pt>
                <c:pt idx="5">
                  <c:v>1.1822540477800167</c:v>
                </c:pt>
                <c:pt idx="6">
                  <c:v>1.1822540477800167</c:v>
                </c:pt>
              </c:numCache>
            </c:numRef>
          </c:yVal>
          <c:smooth val="0"/>
          <c:extLst>
            <c:ext xmlns:c16="http://schemas.microsoft.com/office/drawing/2014/chart" uri="{C3380CC4-5D6E-409C-BE32-E72D297353CC}">
              <c16:uniqueId val="{00000005-3A9D-47D4-842D-ABEC62B2CCE4}"/>
            </c:ext>
          </c:extLst>
        </c:ser>
        <c:dLbls>
          <c:showLegendKey val="0"/>
          <c:showVal val="0"/>
          <c:showCatName val="0"/>
          <c:showSerName val="0"/>
          <c:showPercent val="0"/>
          <c:showBubbleSize val="0"/>
        </c:dLbls>
        <c:axId val="629106480"/>
        <c:axId val="312826928"/>
      </c:scatterChart>
      <c:valAx>
        <c:axId val="629106480"/>
        <c:scaling>
          <c:orientation val="minMax"/>
          <c:max val="11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a:t>
                </a:r>
                <a:r>
                  <a:rPr lang="en-US" baseline="-25000"/>
                  <a:t>1</a:t>
                </a:r>
                <a:r>
                  <a:rPr lang="en-US"/>
                  <a:t> W/S</a:t>
                </a:r>
              </a:p>
            </c:rich>
          </c:tx>
          <c:layout>
            <c:manualLayout>
              <c:xMode val="edge"/>
              <c:yMode val="edge"/>
              <c:x val="0.46267944562316499"/>
              <c:y val="0.9366309767521149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2826928"/>
        <c:crosses val="autoZero"/>
        <c:crossBetween val="midCat"/>
      </c:valAx>
      <c:valAx>
        <c:axId val="312826928"/>
        <c:scaling>
          <c:orientation val="minMax"/>
          <c:max val="2"/>
          <c:min val="0.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a:t>
                </a:r>
                <a:r>
                  <a:rPr lang="en-US" baseline="-25000"/>
                  <a:t>3</a:t>
                </a:r>
                <a:r>
                  <a:rPr lang="en-US"/>
                  <a:t>/n</a:t>
                </a:r>
                <a:r>
                  <a:rPr lang="en-US" baseline="-25000"/>
                  <a:t>1</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9106480"/>
        <c:crosses val="autoZero"/>
        <c:crossBetween val="midCat"/>
        <c:majorUnit val="0.5"/>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Pressure</a:t>
            </a:r>
            <a:r>
              <a:rPr lang="en-US" baseline="0"/>
              <a:t> Distribution (lb/sqft)</a:t>
            </a:r>
            <a:endParaRPr lang="en-US"/>
          </a:p>
        </c:rich>
      </c:tx>
      <c:overlay val="0"/>
      <c:spPr>
        <a:noFill/>
        <a:ln>
          <a:noFill/>
        </a:ln>
        <a:effectLst/>
      </c:spPr>
    </c:title>
    <c:autoTitleDeleted val="0"/>
    <c:view3D>
      <c:rotX val="15"/>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surface3DChart>
        <c:wireframe val="1"/>
        <c:ser>
          <c:idx val="0"/>
          <c:order val="0"/>
          <c:spPr>
            <a:ln w="9525" cap="rnd">
              <a:solidFill>
                <a:schemeClr val="accent5">
                  <a:shade val="41000"/>
                </a:schemeClr>
              </a:solidFill>
              <a:round/>
            </a:ln>
            <a:effectLst/>
          </c:spPr>
          <c:val>
            <c:numRef>
              <c:f>'Elevator Load'!$BD$20:$BD$49</c:f>
              <c:numCache>
                <c:formatCode>0.000</c:formatCode>
                <c:ptCount val="30"/>
                <c:pt idx="0">
                  <c:v>1.0523479921206922</c:v>
                </c:pt>
                <c:pt idx="1">
                  <c:v>1.1311290697876821</c:v>
                </c:pt>
                <c:pt idx="2">
                  <c:v>1.2099101474546712</c:v>
                </c:pt>
                <c:pt idx="3">
                  <c:v>1.2886912251216609</c:v>
                </c:pt>
                <c:pt idx="4">
                  <c:v>1.3674723027886502</c:v>
                </c:pt>
                <c:pt idx="5">
                  <c:v>1.4462533804556408</c:v>
                </c:pt>
                <c:pt idx="6">
                  <c:v>1.5250344581226301</c:v>
                </c:pt>
                <c:pt idx="7">
                  <c:v>1.6038155357896193</c:v>
                </c:pt>
                <c:pt idx="8">
                  <c:v>1.682596613456609</c:v>
                </c:pt>
                <c:pt idx="9">
                  <c:v>1.761377691123599</c:v>
                </c:pt>
                <c:pt idx="10">
                  <c:v>1.8401587687905883</c:v>
                </c:pt>
                <c:pt idx="11">
                  <c:v>1.918939846457578</c:v>
                </c:pt>
                <c:pt idx="12">
                  <c:v>1.9977209241245677</c:v>
                </c:pt>
                <c:pt idx="13">
                  <c:v>2.0765020017915568</c:v>
                </c:pt>
                <c:pt idx="14">
                  <c:v>2.1552830794585458</c:v>
                </c:pt>
                <c:pt idx="15">
                  <c:v>2.2340641571255366</c:v>
                </c:pt>
                <c:pt idx="16">
                  <c:v>2.3128452347925257</c:v>
                </c:pt>
                <c:pt idx="17">
                  <c:v>2.3916263124595152</c:v>
                </c:pt>
                <c:pt idx="18">
                  <c:v>2.4704073901265051</c:v>
                </c:pt>
                <c:pt idx="19">
                  <c:v>2.5491884677934946</c:v>
                </c:pt>
                <c:pt idx="20">
                  <c:v>2.6279695454604841</c:v>
                </c:pt>
                <c:pt idx="21">
                  <c:v>2.7067506231274732</c:v>
                </c:pt>
                <c:pt idx="22">
                  <c:v>2.7855317007944649</c:v>
                </c:pt>
                <c:pt idx="23">
                  <c:v>2.8643127784614544</c:v>
                </c:pt>
                <c:pt idx="24">
                  <c:v>2.9430938561284434</c:v>
                </c:pt>
                <c:pt idx="25">
                  <c:v>3.0218749337954329</c:v>
                </c:pt>
                <c:pt idx="26">
                  <c:v>3.1006560114624215</c:v>
                </c:pt>
                <c:pt idx="27">
                  <c:v>3.1794370891294115</c:v>
                </c:pt>
                <c:pt idx="28">
                  <c:v>3.2582181667964014</c:v>
                </c:pt>
                <c:pt idx="29">
                  <c:v>3.3369992444633909</c:v>
                </c:pt>
              </c:numCache>
            </c:numRef>
          </c:val>
          <c:extLst>
            <c:ext xmlns:c16="http://schemas.microsoft.com/office/drawing/2014/chart" uri="{C3380CC4-5D6E-409C-BE32-E72D297353CC}">
              <c16:uniqueId val="{00000000-018F-4894-849C-52E4F9228047}"/>
            </c:ext>
          </c:extLst>
        </c:ser>
        <c:ser>
          <c:idx val="1"/>
          <c:order val="1"/>
          <c:spPr>
            <a:ln w="9525" cap="rnd">
              <a:solidFill>
                <a:schemeClr val="accent5">
                  <a:shade val="53000"/>
                </a:schemeClr>
              </a:solidFill>
              <a:round/>
            </a:ln>
            <a:effectLst/>
          </c:spPr>
          <c:val>
            <c:numRef>
              <c:f>'Elevator Load'!$BE$20:$BE$49</c:f>
              <c:numCache>
                <c:formatCode>0.000</c:formatCode>
                <c:ptCount val="30"/>
                <c:pt idx="0">
                  <c:v>0.84246141197473667</c:v>
                </c:pt>
                <c:pt idx="1">
                  <c:v>0.90552992013473643</c:v>
                </c:pt>
                <c:pt idx="2">
                  <c:v>0.96859842829473741</c:v>
                </c:pt>
                <c:pt idx="3">
                  <c:v>1.0316669364547368</c:v>
                </c:pt>
                <c:pt idx="4">
                  <c:v>1.0947354446147375</c:v>
                </c:pt>
                <c:pt idx="5">
                  <c:v>1.1578039527747368</c:v>
                </c:pt>
                <c:pt idx="6">
                  <c:v>1.2208724609347366</c:v>
                </c:pt>
                <c:pt idx="7">
                  <c:v>1.2839409690947368</c:v>
                </c:pt>
                <c:pt idx="8">
                  <c:v>1.3470094772547367</c:v>
                </c:pt>
                <c:pt idx="9">
                  <c:v>1.4100779854147365</c:v>
                </c:pt>
                <c:pt idx="10">
                  <c:v>1.4731464935747365</c:v>
                </c:pt>
                <c:pt idx="11">
                  <c:v>1.5362150017347374</c:v>
                </c:pt>
                <c:pt idx="12">
                  <c:v>1.5992835098947367</c:v>
                </c:pt>
                <c:pt idx="13">
                  <c:v>1.6623520180547362</c:v>
                </c:pt>
                <c:pt idx="14">
                  <c:v>1.7254205262147377</c:v>
                </c:pt>
                <c:pt idx="15">
                  <c:v>1.7884890343747355</c:v>
                </c:pt>
                <c:pt idx="16">
                  <c:v>1.8515575425347381</c:v>
                </c:pt>
                <c:pt idx="17">
                  <c:v>1.9146260506947379</c:v>
                </c:pt>
                <c:pt idx="18">
                  <c:v>1.9776945588547368</c:v>
                </c:pt>
                <c:pt idx="19">
                  <c:v>2.0407630670147365</c:v>
                </c:pt>
                <c:pt idx="20">
                  <c:v>2.1038315751747381</c:v>
                </c:pt>
                <c:pt idx="21">
                  <c:v>2.1669000833347378</c:v>
                </c:pt>
                <c:pt idx="22">
                  <c:v>2.2299685914947367</c:v>
                </c:pt>
                <c:pt idx="23">
                  <c:v>2.2930370996547365</c:v>
                </c:pt>
                <c:pt idx="24">
                  <c:v>2.3561056078147358</c:v>
                </c:pt>
                <c:pt idx="25">
                  <c:v>2.419174115974736</c:v>
                </c:pt>
                <c:pt idx="26">
                  <c:v>2.4822426241347366</c:v>
                </c:pt>
                <c:pt idx="27">
                  <c:v>2.5453111322947364</c:v>
                </c:pt>
                <c:pt idx="28">
                  <c:v>2.6083796404547366</c:v>
                </c:pt>
                <c:pt idx="29">
                  <c:v>2.6714481486147363</c:v>
                </c:pt>
              </c:numCache>
            </c:numRef>
          </c:val>
          <c:extLst>
            <c:ext xmlns:c16="http://schemas.microsoft.com/office/drawing/2014/chart" uri="{C3380CC4-5D6E-409C-BE32-E72D297353CC}">
              <c16:uniqueId val="{00000001-018F-4894-849C-52E4F9228047}"/>
            </c:ext>
          </c:extLst>
        </c:ser>
        <c:ser>
          <c:idx val="2"/>
          <c:order val="2"/>
          <c:spPr>
            <a:ln w="9525" cap="rnd">
              <a:solidFill>
                <a:schemeClr val="accent5">
                  <a:shade val="65000"/>
                </a:schemeClr>
              </a:solidFill>
              <a:round/>
            </a:ln>
            <a:effectLst/>
          </c:spPr>
          <c:val>
            <c:numRef>
              <c:f>'Elevator Load'!$BF$20:$BF$49</c:f>
              <c:numCache>
                <c:formatCode>0.000</c:formatCode>
                <c:ptCount val="30"/>
                <c:pt idx="0">
                  <c:v>0.6558955629561104</c:v>
                </c:pt>
                <c:pt idx="1">
                  <c:v>0.70499734266545289</c:v>
                </c:pt>
                <c:pt idx="2">
                  <c:v>0.75409912237479482</c:v>
                </c:pt>
                <c:pt idx="3">
                  <c:v>0.80320090208413786</c:v>
                </c:pt>
                <c:pt idx="4">
                  <c:v>0.85230268179348001</c:v>
                </c:pt>
                <c:pt idx="5">
                  <c:v>0.90140446150282294</c:v>
                </c:pt>
                <c:pt idx="6">
                  <c:v>0.95050624121216587</c:v>
                </c:pt>
                <c:pt idx="7">
                  <c:v>0.99960802092150836</c:v>
                </c:pt>
                <c:pt idx="8">
                  <c:v>1.0487098006308502</c:v>
                </c:pt>
                <c:pt idx="9">
                  <c:v>1.0978115803401931</c:v>
                </c:pt>
                <c:pt idx="10">
                  <c:v>1.1469133600495363</c:v>
                </c:pt>
                <c:pt idx="11">
                  <c:v>1.1960151397588785</c:v>
                </c:pt>
                <c:pt idx="12">
                  <c:v>1.2451169194682203</c:v>
                </c:pt>
                <c:pt idx="13">
                  <c:v>1.2942186991775639</c:v>
                </c:pt>
                <c:pt idx="14">
                  <c:v>1.3433204788869064</c:v>
                </c:pt>
                <c:pt idx="15">
                  <c:v>1.3924222585962487</c:v>
                </c:pt>
                <c:pt idx="16">
                  <c:v>1.4415240383055905</c:v>
                </c:pt>
                <c:pt idx="17">
                  <c:v>1.4906258180149328</c:v>
                </c:pt>
                <c:pt idx="18">
                  <c:v>1.5397275977242764</c:v>
                </c:pt>
                <c:pt idx="19">
                  <c:v>1.5888293774336189</c:v>
                </c:pt>
                <c:pt idx="20">
                  <c:v>1.6379311571429607</c:v>
                </c:pt>
                <c:pt idx="21">
                  <c:v>1.6870329368523032</c:v>
                </c:pt>
                <c:pt idx="22">
                  <c:v>1.7361347165616465</c:v>
                </c:pt>
                <c:pt idx="23">
                  <c:v>1.785236496270989</c:v>
                </c:pt>
                <c:pt idx="24">
                  <c:v>1.8343382759803326</c:v>
                </c:pt>
                <c:pt idx="25">
                  <c:v>1.8834400556896751</c:v>
                </c:pt>
                <c:pt idx="26">
                  <c:v>1.9325418353990174</c:v>
                </c:pt>
                <c:pt idx="27">
                  <c:v>1.9816436151083598</c:v>
                </c:pt>
                <c:pt idx="28">
                  <c:v>2.0307453948177012</c:v>
                </c:pt>
                <c:pt idx="29">
                  <c:v>2.0798471745270435</c:v>
                </c:pt>
              </c:numCache>
            </c:numRef>
          </c:val>
          <c:extLst>
            <c:ext xmlns:c16="http://schemas.microsoft.com/office/drawing/2014/chart" uri="{C3380CC4-5D6E-409C-BE32-E72D297353CC}">
              <c16:uniqueId val="{00000002-018F-4894-849C-52E4F9228047}"/>
            </c:ext>
          </c:extLst>
        </c:ser>
        <c:ser>
          <c:idx val="3"/>
          <c:order val="3"/>
          <c:spPr>
            <a:ln w="9525" cap="rnd">
              <a:solidFill>
                <a:schemeClr val="accent5">
                  <a:shade val="76000"/>
                </a:schemeClr>
              </a:solidFill>
              <a:round/>
            </a:ln>
            <a:effectLst/>
          </c:spPr>
          <c:val>
            <c:numRef>
              <c:f>'Elevator Load'!$BG$20:$BG$49</c:f>
              <c:numCache>
                <c:formatCode>0.000</c:formatCode>
                <c:ptCount val="30"/>
                <c:pt idx="0">
                  <c:v>0.49265044506481132</c:v>
                </c:pt>
                <c:pt idx="1">
                  <c:v>0.52953133737982894</c:v>
                </c:pt>
                <c:pt idx="2">
                  <c:v>0.56641222969484639</c:v>
                </c:pt>
                <c:pt idx="3">
                  <c:v>0.60329312200986351</c:v>
                </c:pt>
                <c:pt idx="4">
                  <c:v>0.64017401432488064</c:v>
                </c:pt>
                <c:pt idx="5">
                  <c:v>0.6770549066398982</c:v>
                </c:pt>
                <c:pt idx="6">
                  <c:v>0.71393579895491521</c:v>
                </c:pt>
                <c:pt idx="7">
                  <c:v>0.75081669126993245</c:v>
                </c:pt>
                <c:pt idx="8">
                  <c:v>0.78769758358495001</c:v>
                </c:pt>
                <c:pt idx="9">
                  <c:v>0.82457847589996758</c:v>
                </c:pt>
                <c:pt idx="10">
                  <c:v>0.8614593682149847</c:v>
                </c:pt>
                <c:pt idx="11">
                  <c:v>0.89834026053000171</c:v>
                </c:pt>
                <c:pt idx="12">
                  <c:v>0.93522115284501983</c:v>
                </c:pt>
                <c:pt idx="13">
                  <c:v>0.97210204516003584</c:v>
                </c:pt>
                <c:pt idx="14">
                  <c:v>1.0089829374750539</c:v>
                </c:pt>
                <c:pt idx="15">
                  <c:v>1.0458638297900711</c:v>
                </c:pt>
                <c:pt idx="16">
                  <c:v>1.0827447221050892</c:v>
                </c:pt>
                <c:pt idx="17">
                  <c:v>1.119625614420106</c:v>
                </c:pt>
                <c:pt idx="18">
                  <c:v>1.1565065067351232</c:v>
                </c:pt>
                <c:pt idx="19">
                  <c:v>1.1933873990501405</c:v>
                </c:pt>
                <c:pt idx="20">
                  <c:v>1.2302682913651573</c:v>
                </c:pt>
                <c:pt idx="21">
                  <c:v>1.2671491836801745</c:v>
                </c:pt>
                <c:pt idx="22">
                  <c:v>1.3040300759951924</c:v>
                </c:pt>
                <c:pt idx="23">
                  <c:v>1.3409109683102096</c:v>
                </c:pt>
                <c:pt idx="24">
                  <c:v>1.3777918606252264</c:v>
                </c:pt>
                <c:pt idx="25">
                  <c:v>1.4146727529402436</c:v>
                </c:pt>
                <c:pt idx="26">
                  <c:v>1.4515536452552611</c:v>
                </c:pt>
                <c:pt idx="27">
                  <c:v>1.4884345375702783</c:v>
                </c:pt>
                <c:pt idx="28">
                  <c:v>1.5253154298852962</c:v>
                </c:pt>
                <c:pt idx="29">
                  <c:v>1.5621963222003135</c:v>
                </c:pt>
              </c:numCache>
            </c:numRef>
          </c:val>
          <c:extLst>
            <c:ext xmlns:c16="http://schemas.microsoft.com/office/drawing/2014/chart" uri="{C3380CC4-5D6E-409C-BE32-E72D297353CC}">
              <c16:uniqueId val="{00000003-018F-4894-849C-52E4F9228047}"/>
            </c:ext>
          </c:extLst>
        </c:ser>
        <c:ser>
          <c:idx val="4"/>
          <c:order val="4"/>
          <c:spPr>
            <a:ln w="9525" cap="rnd">
              <a:solidFill>
                <a:schemeClr val="accent5">
                  <a:shade val="88000"/>
                </a:schemeClr>
              </a:solidFill>
              <a:round/>
            </a:ln>
            <a:effectLst/>
          </c:spPr>
          <c:val>
            <c:numRef>
              <c:f>'Elevator Load'!$BH$20:$BH$49</c:f>
              <c:numCache>
                <c:formatCode>0.000</c:formatCode>
                <c:ptCount val="30"/>
                <c:pt idx="0">
                  <c:v>0.35272605830084158</c:v>
                </c:pt>
                <c:pt idx="1">
                  <c:v>0.37913190427786575</c:v>
                </c:pt>
                <c:pt idx="2">
                  <c:v>0.40553775025488958</c:v>
                </c:pt>
                <c:pt idx="3">
                  <c:v>0.4319435962319142</c:v>
                </c:pt>
                <c:pt idx="4">
                  <c:v>0.4583494422089382</c:v>
                </c:pt>
                <c:pt idx="5">
                  <c:v>0.48475528818596275</c:v>
                </c:pt>
                <c:pt idx="6">
                  <c:v>0.51116113416298681</c:v>
                </c:pt>
                <c:pt idx="7">
                  <c:v>0.53756698014001081</c:v>
                </c:pt>
                <c:pt idx="8">
                  <c:v>0.56397282611703525</c:v>
                </c:pt>
                <c:pt idx="9">
                  <c:v>0.59037867209405948</c:v>
                </c:pt>
                <c:pt idx="10">
                  <c:v>0.61678451807108348</c:v>
                </c:pt>
                <c:pt idx="11">
                  <c:v>0.64319036404810748</c:v>
                </c:pt>
                <c:pt idx="12">
                  <c:v>0.66959621002513237</c:v>
                </c:pt>
                <c:pt idx="13">
                  <c:v>0.69600205600215659</c:v>
                </c:pt>
                <c:pt idx="14">
                  <c:v>0.7224079019791807</c:v>
                </c:pt>
                <c:pt idx="15">
                  <c:v>0.74881374795620481</c:v>
                </c:pt>
                <c:pt idx="16">
                  <c:v>0.77521959393322859</c:v>
                </c:pt>
                <c:pt idx="17">
                  <c:v>0.8016254399102527</c:v>
                </c:pt>
                <c:pt idx="18">
                  <c:v>0.82803128588727759</c:v>
                </c:pt>
                <c:pt idx="19">
                  <c:v>0.85443713186430181</c:v>
                </c:pt>
                <c:pt idx="20">
                  <c:v>0.8808429778413257</c:v>
                </c:pt>
                <c:pt idx="21">
                  <c:v>0.90724882381834981</c:v>
                </c:pt>
                <c:pt idx="22">
                  <c:v>0.93365466979537481</c:v>
                </c:pt>
                <c:pt idx="23">
                  <c:v>0.96006051577239893</c:v>
                </c:pt>
                <c:pt idx="24">
                  <c:v>0.98646636174942304</c:v>
                </c:pt>
                <c:pt idx="25">
                  <c:v>1.0128722077264471</c:v>
                </c:pt>
                <c:pt idx="26">
                  <c:v>1.0392780537034709</c:v>
                </c:pt>
                <c:pt idx="27">
                  <c:v>1.0656838996804952</c:v>
                </c:pt>
                <c:pt idx="28">
                  <c:v>1.0920897456575198</c:v>
                </c:pt>
                <c:pt idx="29">
                  <c:v>1.118495591634544</c:v>
                </c:pt>
              </c:numCache>
            </c:numRef>
          </c:val>
          <c:extLst>
            <c:ext xmlns:c16="http://schemas.microsoft.com/office/drawing/2014/chart" uri="{C3380CC4-5D6E-409C-BE32-E72D297353CC}">
              <c16:uniqueId val="{00000004-018F-4894-849C-52E4F9228047}"/>
            </c:ext>
          </c:extLst>
        </c:ser>
        <c:ser>
          <c:idx val="5"/>
          <c:order val="5"/>
          <c:spPr>
            <a:ln w="9525" cap="rnd">
              <a:solidFill>
                <a:schemeClr val="accent5"/>
              </a:solidFill>
              <a:round/>
            </a:ln>
            <a:effectLst/>
          </c:spPr>
          <c:val>
            <c:numRef>
              <c:f>'Elevator Load'!$BI$20:$BI$49</c:f>
              <c:numCache>
                <c:formatCode>0.000</c:formatCode>
                <c:ptCount val="30"/>
                <c:pt idx="0">
                  <c:v>0.2361224026641997</c:v>
                </c:pt>
                <c:pt idx="1">
                  <c:v>0.25379904335956288</c:v>
                </c:pt>
                <c:pt idx="2">
                  <c:v>0.27147568405492645</c:v>
                </c:pt>
                <c:pt idx="3">
                  <c:v>0.28915232475028974</c:v>
                </c:pt>
                <c:pt idx="4">
                  <c:v>0.30682896544565297</c:v>
                </c:pt>
                <c:pt idx="5">
                  <c:v>0.32450560614101648</c:v>
                </c:pt>
                <c:pt idx="6">
                  <c:v>0.34218224683637971</c:v>
                </c:pt>
                <c:pt idx="7">
                  <c:v>0.359858887531743</c:v>
                </c:pt>
                <c:pt idx="8">
                  <c:v>0.37753552822710601</c:v>
                </c:pt>
                <c:pt idx="9">
                  <c:v>0.39521216892246924</c:v>
                </c:pt>
                <c:pt idx="10">
                  <c:v>0.41288880961783342</c:v>
                </c:pt>
                <c:pt idx="11">
                  <c:v>0.43056545031319654</c:v>
                </c:pt>
                <c:pt idx="12">
                  <c:v>0.44824209100855972</c:v>
                </c:pt>
                <c:pt idx="13">
                  <c:v>0.46591873170392289</c:v>
                </c:pt>
                <c:pt idx="14">
                  <c:v>0.48359537239928596</c:v>
                </c:pt>
                <c:pt idx="15">
                  <c:v>0.50127201309464919</c:v>
                </c:pt>
                <c:pt idx="16">
                  <c:v>0.5189486537900132</c:v>
                </c:pt>
                <c:pt idx="17">
                  <c:v>0.53662529448537644</c:v>
                </c:pt>
                <c:pt idx="18">
                  <c:v>0.55430193518073978</c:v>
                </c:pt>
                <c:pt idx="19">
                  <c:v>0.57197857587610301</c:v>
                </c:pt>
                <c:pt idx="20">
                  <c:v>0.58965521657146613</c:v>
                </c:pt>
                <c:pt idx="21">
                  <c:v>0.60733185726682948</c:v>
                </c:pt>
                <c:pt idx="22">
                  <c:v>0.62500849796219315</c:v>
                </c:pt>
                <c:pt idx="23">
                  <c:v>0.6426851386575565</c:v>
                </c:pt>
                <c:pt idx="24">
                  <c:v>0.66036177935291973</c:v>
                </c:pt>
                <c:pt idx="25">
                  <c:v>0.67803842004828296</c:v>
                </c:pt>
                <c:pt idx="26">
                  <c:v>0.69571506074364631</c:v>
                </c:pt>
                <c:pt idx="27">
                  <c:v>0.71339170143900954</c:v>
                </c:pt>
                <c:pt idx="28">
                  <c:v>0.73106834213437233</c:v>
                </c:pt>
                <c:pt idx="29">
                  <c:v>0.74874498282973556</c:v>
                </c:pt>
              </c:numCache>
            </c:numRef>
          </c:val>
          <c:extLst>
            <c:ext xmlns:c16="http://schemas.microsoft.com/office/drawing/2014/chart" uri="{C3380CC4-5D6E-409C-BE32-E72D297353CC}">
              <c16:uniqueId val="{00000005-018F-4894-849C-52E4F9228047}"/>
            </c:ext>
          </c:extLst>
        </c:ser>
        <c:ser>
          <c:idx val="6"/>
          <c:order val="6"/>
          <c:spPr>
            <a:ln w="9525" cap="rnd">
              <a:solidFill>
                <a:schemeClr val="accent5">
                  <a:tint val="89000"/>
                </a:schemeClr>
              </a:solidFill>
              <a:round/>
            </a:ln>
            <a:effectLst/>
          </c:spPr>
          <c:val>
            <c:numRef>
              <c:f>'Elevator Load'!$BJ$20:$BJ$49</c:f>
              <c:numCache>
                <c:formatCode>0.000</c:formatCode>
                <c:ptCount val="30"/>
                <c:pt idx="0">
                  <c:v>0.14283947815488621</c:v>
                </c:pt>
                <c:pt idx="1">
                  <c:v>0.15353275462492072</c:v>
                </c:pt>
                <c:pt idx="2">
                  <c:v>0.16422603109495559</c:v>
                </c:pt>
                <c:pt idx="3">
                  <c:v>0.17491930756499008</c:v>
                </c:pt>
                <c:pt idx="4">
                  <c:v>0.18561258403502462</c:v>
                </c:pt>
                <c:pt idx="5">
                  <c:v>0.1963058605050591</c:v>
                </c:pt>
                <c:pt idx="6">
                  <c:v>0.20699913697509403</c:v>
                </c:pt>
                <c:pt idx="7">
                  <c:v>0.21769241344512821</c:v>
                </c:pt>
                <c:pt idx="8">
                  <c:v>0.22838568991516342</c:v>
                </c:pt>
                <c:pt idx="9">
                  <c:v>0.23907896638519796</c:v>
                </c:pt>
                <c:pt idx="10">
                  <c:v>0.2497722428552325</c:v>
                </c:pt>
                <c:pt idx="11">
                  <c:v>0.26046551932526696</c:v>
                </c:pt>
                <c:pt idx="12">
                  <c:v>0.27115879579530144</c:v>
                </c:pt>
                <c:pt idx="13">
                  <c:v>0.28185207226533604</c:v>
                </c:pt>
                <c:pt idx="14">
                  <c:v>0.29254534873537047</c:v>
                </c:pt>
                <c:pt idx="15">
                  <c:v>0.30323862520540501</c:v>
                </c:pt>
                <c:pt idx="16">
                  <c:v>0.31393190167544022</c:v>
                </c:pt>
                <c:pt idx="17">
                  <c:v>0.32462517814547481</c:v>
                </c:pt>
                <c:pt idx="18">
                  <c:v>0.33531845461550935</c:v>
                </c:pt>
                <c:pt idx="19">
                  <c:v>0.34601173108554378</c:v>
                </c:pt>
                <c:pt idx="20">
                  <c:v>0.35670500755557832</c:v>
                </c:pt>
                <c:pt idx="21">
                  <c:v>0.36739828402561286</c:v>
                </c:pt>
                <c:pt idx="22">
                  <c:v>0.37809156049564724</c:v>
                </c:pt>
                <c:pt idx="23">
                  <c:v>0.38878483696568183</c:v>
                </c:pt>
                <c:pt idx="24">
                  <c:v>0.39947811343571715</c:v>
                </c:pt>
                <c:pt idx="25">
                  <c:v>0.41017138990575169</c:v>
                </c:pt>
                <c:pt idx="26">
                  <c:v>0.42086466637578551</c:v>
                </c:pt>
                <c:pt idx="27">
                  <c:v>0.43155794284582005</c:v>
                </c:pt>
                <c:pt idx="28">
                  <c:v>0.44225121931585587</c:v>
                </c:pt>
                <c:pt idx="29">
                  <c:v>0.45294449578589047</c:v>
                </c:pt>
              </c:numCache>
            </c:numRef>
          </c:val>
          <c:extLst>
            <c:ext xmlns:c16="http://schemas.microsoft.com/office/drawing/2014/chart" uri="{C3380CC4-5D6E-409C-BE32-E72D297353CC}">
              <c16:uniqueId val="{00000006-018F-4894-849C-52E4F9228047}"/>
            </c:ext>
          </c:extLst>
        </c:ser>
        <c:ser>
          <c:idx val="7"/>
          <c:order val="7"/>
          <c:spPr>
            <a:ln w="9525" cap="rnd">
              <a:solidFill>
                <a:schemeClr val="accent5">
                  <a:tint val="77000"/>
                </a:schemeClr>
              </a:solidFill>
              <a:round/>
            </a:ln>
            <a:effectLst/>
          </c:spPr>
          <c:val>
            <c:numRef>
              <c:f>'Elevator Load'!$BK$20:$BK$49</c:f>
              <c:numCache>
                <c:formatCode>0.000</c:formatCode>
                <c:ptCount val="30"/>
                <c:pt idx="0">
                  <c:v>7.2877284772901077E-2</c:v>
                </c:pt>
                <c:pt idx="1">
                  <c:v>7.8333038073939348E-2</c:v>
                </c:pt>
                <c:pt idx="2">
                  <c:v>8.3788791374977356E-2</c:v>
                </c:pt>
                <c:pt idx="3">
                  <c:v>8.9244544676015378E-2</c:v>
                </c:pt>
                <c:pt idx="4">
                  <c:v>9.4700297977053413E-2</c:v>
                </c:pt>
                <c:pt idx="5">
                  <c:v>0.10015605127809143</c:v>
                </c:pt>
                <c:pt idx="6">
                  <c:v>0.10561180457912972</c:v>
                </c:pt>
                <c:pt idx="7">
                  <c:v>0.11106755788016776</c:v>
                </c:pt>
                <c:pt idx="8">
                  <c:v>0.11652331118120571</c:v>
                </c:pt>
                <c:pt idx="9">
                  <c:v>0.12197906448224378</c:v>
                </c:pt>
                <c:pt idx="10">
                  <c:v>0.12743481778328181</c:v>
                </c:pt>
                <c:pt idx="11">
                  <c:v>0.13289057108431981</c:v>
                </c:pt>
                <c:pt idx="12">
                  <c:v>0.13834632438535785</c:v>
                </c:pt>
                <c:pt idx="13">
                  <c:v>0.14380207768639583</c:v>
                </c:pt>
                <c:pt idx="14">
                  <c:v>0.14925783098743386</c:v>
                </c:pt>
                <c:pt idx="15">
                  <c:v>0.15471358428847237</c:v>
                </c:pt>
                <c:pt idx="16">
                  <c:v>0.16016933758951044</c:v>
                </c:pt>
                <c:pt idx="17">
                  <c:v>0.16562509089054839</c:v>
                </c:pt>
                <c:pt idx="18">
                  <c:v>0.1710808441915864</c:v>
                </c:pt>
                <c:pt idx="19">
                  <c:v>0.17653659749262443</c:v>
                </c:pt>
                <c:pt idx="20">
                  <c:v>0.18199235079366252</c:v>
                </c:pt>
                <c:pt idx="21">
                  <c:v>0.1874481040947005</c:v>
                </c:pt>
                <c:pt idx="22">
                  <c:v>0.19290385739573851</c:v>
                </c:pt>
                <c:pt idx="23">
                  <c:v>0.19835961069677654</c:v>
                </c:pt>
                <c:pt idx="24">
                  <c:v>0.20381536399781508</c:v>
                </c:pt>
                <c:pt idx="25">
                  <c:v>0.20927111729885312</c:v>
                </c:pt>
                <c:pt idx="26">
                  <c:v>0.21472687059989115</c:v>
                </c:pt>
                <c:pt idx="27">
                  <c:v>0.22018262390092919</c:v>
                </c:pt>
                <c:pt idx="28">
                  <c:v>0.22563837720196706</c:v>
                </c:pt>
                <c:pt idx="29">
                  <c:v>0.23109413050300512</c:v>
                </c:pt>
              </c:numCache>
            </c:numRef>
          </c:val>
          <c:extLst>
            <c:ext xmlns:c16="http://schemas.microsoft.com/office/drawing/2014/chart" uri="{C3380CC4-5D6E-409C-BE32-E72D297353CC}">
              <c16:uniqueId val="{00000007-018F-4894-849C-52E4F9228047}"/>
            </c:ext>
          </c:extLst>
        </c:ser>
        <c:ser>
          <c:idx val="8"/>
          <c:order val="8"/>
          <c:spPr>
            <a:ln w="9525" cap="rnd">
              <a:solidFill>
                <a:schemeClr val="accent5">
                  <a:tint val="65000"/>
                </a:schemeClr>
              </a:solidFill>
              <a:round/>
            </a:ln>
            <a:effectLst/>
          </c:spPr>
          <c:val>
            <c:numRef>
              <c:f>'Elevator Load'!$BL$20:$BL$49</c:f>
              <c:numCache>
                <c:formatCode>0.000</c:formatCode>
                <c:ptCount val="30"/>
                <c:pt idx="0">
                  <c:v>2.623582251824436E-2</c:v>
                </c:pt>
                <c:pt idx="1">
                  <c:v>2.8199893706618209E-2</c:v>
                </c:pt>
                <c:pt idx="2">
                  <c:v>3.0163964894991888E-2</c:v>
                </c:pt>
                <c:pt idx="3">
                  <c:v>3.2128036083365577E-2</c:v>
                </c:pt>
                <c:pt idx="4">
                  <c:v>3.409210727173926E-2</c:v>
                </c:pt>
                <c:pt idx="5">
                  <c:v>3.6056178460112942E-2</c:v>
                </c:pt>
                <c:pt idx="6">
                  <c:v>3.8020249648486645E-2</c:v>
                </c:pt>
                <c:pt idx="7">
                  <c:v>3.9984320836860328E-2</c:v>
                </c:pt>
                <c:pt idx="8">
                  <c:v>4.1948392025233996E-2</c:v>
                </c:pt>
                <c:pt idx="9">
                  <c:v>4.39124632136077E-2</c:v>
                </c:pt>
                <c:pt idx="10">
                  <c:v>4.5876534401981389E-2</c:v>
                </c:pt>
                <c:pt idx="11">
                  <c:v>4.7840605590355079E-2</c:v>
                </c:pt>
                <c:pt idx="12">
                  <c:v>4.9804676778729066E-2</c:v>
                </c:pt>
                <c:pt idx="13">
                  <c:v>5.1768747967102444E-2</c:v>
                </c:pt>
                <c:pt idx="14">
                  <c:v>5.3732819155476431E-2</c:v>
                </c:pt>
                <c:pt idx="15">
                  <c:v>5.5696890343850135E-2</c:v>
                </c:pt>
                <c:pt idx="16">
                  <c:v>5.7660961532223796E-2</c:v>
                </c:pt>
                <c:pt idx="17">
                  <c:v>5.96250327205975E-2</c:v>
                </c:pt>
                <c:pt idx="18">
                  <c:v>6.1589103908971182E-2</c:v>
                </c:pt>
                <c:pt idx="19">
                  <c:v>6.3553175097344886E-2</c:v>
                </c:pt>
                <c:pt idx="20">
                  <c:v>6.5517246285718575E-2</c:v>
                </c:pt>
                <c:pt idx="21">
                  <c:v>6.7481317474092237E-2</c:v>
                </c:pt>
                <c:pt idx="22">
                  <c:v>6.9445388662465926E-2</c:v>
                </c:pt>
                <c:pt idx="23">
                  <c:v>7.1409459850839616E-2</c:v>
                </c:pt>
                <c:pt idx="24">
                  <c:v>7.3373531039213319E-2</c:v>
                </c:pt>
                <c:pt idx="25">
                  <c:v>7.5337602227587022E-2</c:v>
                </c:pt>
                <c:pt idx="26">
                  <c:v>7.7301673415960684E-2</c:v>
                </c:pt>
                <c:pt idx="27">
                  <c:v>7.9265744604334387E-2</c:v>
                </c:pt>
                <c:pt idx="28">
                  <c:v>8.1229815792708035E-2</c:v>
                </c:pt>
                <c:pt idx="29">
                  <c:v>8.3193886981081724E-2</c:v>
                </c:pt>
              </c:numCache>
            </c:numRef>
          </c:val>
          <c:extLst>
            <c:ext xmlns:c16="http://schemas.microsoft.com/office/drawing/2014/chart" uri="{C3380CC4-5D6E-409C-BE32-E72D297353CC}">
              <c16:uniqueId val="{00000008-018F-4894-849C-52E4F9228047}"/>
            </c:ext>
          </c:extLst>
        </c:ser>
        <c:ser>
          <c:idx val="9"/>
          <c:order val="9"/>
          <c:spPr>
            <a:ln w="9525" cap="rnd">
              <a:solidFill>
                <a:schemeClr val="accent5">
                  <a:tint val="54000"/>
                </a:schemeClr>
              </a:solidFill>
              <a:round/>
            </a:ln>
            <a:effectLst/>
          </c:spPr>
          <c:val>
            <c:numRef>
              <c:f>'Elevator Load'!$BM$20:$BM$49</c:f>
              <c:numCache>
                <c:formatCode>0.000</c:formatCode>
                <c:ptCount val="30"/>
                <c:pt idx="0">
                  <c:v>2.9150913909160737E-3</c:v>
                </c:pt>
                <c:pt idx="1">
                  <c:v>3.1333215229575944E-3</c:v>
                </c:pt>
                <c:pt idx="2">
                  <c:v>3.3515516549991143E-3</c:v>
                </c:pt>
                <c:pt idx="3">
                  <c:v>3.5697817870406351E-3</c:v>
                </c:pt>
                <c:pt idx="4">
                  <c:v>3.7880119190821572E-3</c:v>
                </c:pt>
                <c:pt idx="5">
                  <c:v>4.0062420511236272E-3</c:v>
                </c:pt>
                <c:pt idx="6">
                  <c:v>4.2244721831651479E-3</c:v>
                </c:pt>
                <c:pt idx="7">
                  <c:v>4.4427023152066696E-3</c:v>
                </c:pt>
                <c:pt idx="8">
                  <c:v>4.6609324472482901E-3</c:v>
                </c:pt>
                <c:pt idx="9">
                  <c:v>4.8791625792898117E-3</c:v>
                </c:pt>
                <c:pt idx="10">
                  <c:v>5.0973927113313324E-3</c:v>
                </c:pt>
                <c:pt idx="11">
                  <c:v>5.3156228433728532E-3</c:v>
                </c:pt>
                <c:pt idx="12">
                  <c:v>5.5338529754143731E-3</c:v>
                </c:pt>
                <c:pt idx="13">
                  <c:v>5.7520831074558947E-3</c:v>
                </c:pt>
                <c:pt idx="14">
                  <c:v>5.9703132394974146E-3</c:v>
                </c:pt>
                <c:pt idx="15">
                  <c:v>6.1885433715389371E-3</c:v>
                </c:pt>
                <c:pt idx="16">
                  <c:v>6.4067735035804553E-3</c:v>
                </c:pt>
                <c:pt idx="17">
                  <c:v>6.6250036356219778E-3</c:v>
                </c:pt>
                <c:pt idx="18">
                  <c:v>6.8432337676634985E-3</c:v>
                </c:pt>
                <c:pt idx="19">
                  <c:v>7.0614638997050201E-3</c:v>
                </c:pt>
                <c:pt idx="20">
                  <c:v>7.2796940317465409E-3</c:v>
                </c:pt>
                <c:pt idx="21">
                  <c:v>7.4979241637880608E-3</c:v>
                </c:pt>
                <c:pt idx="22">
                  <c:v>7.7161542958294809E-3</c:v>
                </c:pt>
                <c:pt idx="23">
                  <c:v>7.934384427871E-3</c:v>
                </c:pt>
                <c:pt idx="24">
                  <c:v>8.1526145599125216E-3</c:v>
                </c:pt>
                <c:pt idx="25">
                  <c:v>8.370844691954045E-3</c:v>
                </c:pt>
                <c:pt idx="26">
                  <c:v>8.5890748239957643E-3</c:v>
                </c:pt>
                <c:pt idx="27">
                  <c:v>8.8073049560372877E-3</c:v>
                </c:pt>
                <c:pt idx="28">
                  <c:v>9.0255350880788024E-3</c:v>
                </c:pt>
                <c:pt idx="29">
                  <c:v>9.2437652201203275E-3</c:v>
                </c:pt>
              </c:numCache>
            </c:numRef>
          </c:val>
          <c:extLst>
            <c:ext xmlns:c16="http://schemas.microsoft.com/office/drawing/2014/chart" uri="{C3380CC4-5D6E-409C-BE32-E72D297353CC}">
              <c16:uniqueId val="{00000009-018F-4894-849C-52E4F9228047}"/>
            </c:ext>
          </c:extLst>
        </c:ser>
        <c:ser>
          <c:idx val="10"/>
          <c:order val="10"/>
          <c:spPr>
            <a:ln w="9525" cap="rnd">
              <a:solidFill>
                <a:schemeClr val="accent5">
                  <a:tint val="42000"/>
                </a:schemeClr>
              </a:solidFill>
              <a:round/>
            </a:ln>
            <a:effectLst/>
          </c:spPr>
          <c:val>
            <c:numRef>
              <c:f>'Elevator Load'!$BN$20:$BN$49</c:f>
              <c:numCache>
                <c:formatCode>0.000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extLst>
            <c:ext xmlns:c16="http://schemas.microsoft.com/office/drawing/2014/chart" uri="{C3380CC4-5D6E-409C-BE32-E72D297353CC}">
              <c16:uniqueId val="{0000000A-018F-4894-849C-52E4F9228047}"/>
            </c:ext>
          </c:extLst>
        </c:ser>
        <c:bandFmts>
          <c:bandFmt>
            <c:idx val="0"/>
            <c:spPr>
              <a:ln w="9525" cap="rnd">
                <a:solidFill>
                  <a:schemeClr val="accent5">
                    <a:shade val="58000"/>
                  </a:schemeClr>
                </a:solidFill>
                <a:round/>
              </a:ln>
              <a:effectLst/>
            </c:spPr>
          </c:bandFmt>
          <c:bandFmt>
            <c:idx val="1"/>
            <c:spPr>
              <a:ln w="9525" cap="rnd">
                <a:solidFill>
                  <a:schemeClr val="accent5">
                    <a:shade val="86000"/>
                  </a:schemeClr>
                </a:solidFill>
                <a:round/>
              </a:ln>
              <a:effectLst/>
            </c:spPr>
          </c:bandFmt>
          <c:bandFmt>
            <c:idx val="2"/>
            <c:spPr>
              <a:ln w="9525" cap="rnd">
                <a:solidFill>
                  <a:schemeClr val="accent5">
                    <a:tint val="86000"/>
                  </a:schemeClr>
                </a:solidFill>
                <a:round/>
              </a:ln>
              <a:effectLst/>
            </c:spPr>
          </c:bandFmt>
          <c:bandFmt>
            <c:idx val="3"/>
            <c:spPr>
              <a:ln w="9525" cap="rnd">
                <a:solidFill>
                  <a:schemeClr val="accent5">
                    <a:tint val="58000"/>
                  </a:schemeClr>
                </a:solidFill>
                <a:round/>
              </a:ln>
              <a:effectLst/>
            </c:spPr>
          </c:bandFmt>
          <c:bandFmt>
            <c:idx val="4"/>
            <c:spPr>
              <a:ln w="9525" cap="rnd">
                <a:solidFill>
                  <a:schemeClr val="accent5">
                    <a:tint val="30000"/>
                  </a:schemeClr>
                </a:solidFill>
                <a:round/>
              </a:ln>
              <a:effectLst/>
            </c:spPr>
          </c:bandFmt>
          <c:bandFmt>
            <c:idx val="5"/>
            <c:spPr>
              <a:ln w="9525" cap="rnd">
                <a:solidFill>
                  <a:schemeClr val="accent5">
                    <a:tint val="2000"/>
                  </a:schemeClr>
                </a:solidFill>
                <a:round/>
              </a:ln>
              <a:effectLst/>
            </c:spPr>
          </c:bandFmt>
          <c:bandFmt>
            <c:idx val="6"/>
            <c:spPr>
              <a:ln w="9525" cap="rnd">
                <a:solidFill>
                  <a:schemeClr val="accent5">
                    <a:tint val="74000"/>
                  </a:schemeClr>
                </a:solidFill>
                <a:round/>
              </a:ln>
              <a:effectLst/>
            </c:spPr>
          </c:bandFmt>
          <c:bandFmt>
            <c:idx val="7"/>
            <c:spPr>
              <a:ln w="9525" cap="rnd">
                <a:solidFill>
                  <a:schemeClr val="accent5">
                    <a:tint val="46000"/>
                  </a:schemeClr>
                </a:solidFill>
                <a:round/>
              </a:ln>
              <a:effectLst/>
            </c:spPr>
          </c:bandFmt>
          <c:bandFmt>
            <c:idx val="8"/>
            <c:spPr>
              <a:ln w="9525" cap="rnd">
                <a:solidFill>
                  <a:schemeClr val="accent5">
                    <a:tint val="18000"/>
                  </a:schemeClr>
                </a:solidFill>
                <a:round/>
              </a:ln>
              <a:effectLst/>
            </c:spPr>
          </c:bandFmt>
          <c:bandFmt>
            <c:idx val="9"/>
            <c:spPr>
              <a:ln w="9525" cap="rnd">
                <a:solidFill>
                  <a:schemeClr val="accent5">
                    <a:tint val="90000"/>
                  </a:schemeClr>
                </a:solidFill>
                <a:round/>
              </a:ln>
              <a:effectLst/>
            </c:spPr>
          </c:bandFmt>
          <c:bandFmt>
            <c:idx val="10"/>
            <c:spPr>
              <a:ln w="9525" cap="rnd">
                <a:solidFill>
                  <a:schemeClr val="accent5">
                    <a:tint val="62000"/>
                  </a:schemeClr>
                </a:solidFill>
                <a:round/>
              </a:ln>
              <a:effectLst/>
            </c:spPr>
          </c:bandFmt>
          <c:bandFmt>
            <c:idx val="11"/>
            <c:spPr>
              <a:ln w="9525" cap="rnd">
                <a:solidFill>
                  <a:schemeClr val="accent5">
                    <a:tint val="34000"/>
                  </a:schemeClr>
                </a:solidFill>
                <a:round/>
              </a:ln>
              <a:effectLst/>
            </c:spPr>
          </c:bandFmt>
          <c:bandFmt>
            <c:idx val="12"/>
            <c:spPr>
              <a:ln w="9525" cap="rnd">
                <a:solidFill>
                  <a:schemeClr val="accent5">
                    <a:tint val="6000"/>
                  </a:schemeClr>
                </a:solidFill>
                <a:round/>
              </a:ln>
              <a:effectLst/>
            </c:spPr>
          </c:bandFmt>
          <c:bandFmt>
            <c:idx val="13"/>
            <c:spPr>
              <a:ln w="9525" cap="rnd">
                <a:solidFill>
                  <a:schemeClr val="accent5">
                    <a:tint val="78000"/>
                  </a:schemeClr>
                </a:solidFill>
                <a:round/>
              </a:ln>
              <a:effectLst/>
            </c:spPr>
          </c:bandFmt>
          <c:bandFmt>
            <c:idx val="14"/>
            <c:spPr>
              <a:ln w="9525" cap="rnd">
                <a:solidFill>
                  <a:schemeClr val="accent5">
                    <a:tint val="50000"/>
                  </a:schemeClr>
                </a:solidFill>
                <a:round/>
              </a:ln>
              <a:effectLst/>
            </c:spPr>
          </c:bandFmt>
        </c:bandFmts>
        <c:axId val="749150592"/>
        <c:axId val="749154856"/>
        <c:axId val="747010864"/>
      </c:surface3DChart>
      <c:catAx>
        <c:axId val="749150592"/>
        <c:scaling>
          <c:orientation val="minMax"/>
        </c:scaling>
        <c:delete val="1"/>
        <c:axPos val="b"/>
        <c:majorTickMark val="out"/>
        <c:minorTickMark val="none"/>
        <c:tickLblPos val="nextTo"/>
        <c:crossAx val="749154856"/>
        <c:crosses val="autoZero"/>
        <c:auto val="1"/>
        <c:lblAlgn val="ctr"/>
        <c:lblOffset val="100"/>
        <c:noMultiLvlLbl val="0"/>
      </c:catAx>
      <c:valAx>
        <c:axId val="749154856"/>
        <c:scaling>
          <c:orientation val="minMax"/>
        </c:scaling>
        <c:delete val="0"/>
        <c:axPos val="r"/>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9150592"/>
        <c:crosses val="autoZero"/>
        <c:crossBetween val="midCat"/>
      </c:valAx>
      <c:serAx>
        <c:axId val="747010864"/>
        <c:scaling>
          <c:orientation val="minMax"/>
        </c:scaling>
        <c:delete val="1"/>
        <c:axPos val="b"/>
        <c:majorTickMark val="out"/>
        <c:minorTickMark val="none"/>
        <c:tickLblPos val="nextTo"/>
        <c:crossAx val="749154856"/>
        <c:crosses val="autoZero"/>
      </c:ser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'Elevator Load'!$BD$18:$BN$18</c:f>
              <c:numCache>
                <c:formatCode>General</c:formatCode>
                <c:ptCount val="11"/>
                <c:pt idx="0">
                  <c:v>0.95</c:v>
                </c:pt>
                <c:pt idx="1">
                  <c:v>0.85</c:v>
                </c:pt>
                <c:pt idx="2">
                  <c:v>0.75</c:v>
                </c:pt>
                <c:pt idx="3">
                  <c:v>0.65</c:v>
                </c:pt>
                <c:pt idx="4">
                  <c:v>0.55000000000000004</c:v>
                </c:pt>
                <c:pt idx="5">
                  <c:v>0.45000000000000007</c:v>
                </c:pt>
                <c:pt idx="6">
                  <c:v>0.35000000000000009</c:v>
                </c:pt>
                <c:pt idx="7">
                  <c:v>0.25000000000000011</c:v>
                </c:pt>
                <c:pt idx="8">
                  <c:v>0.15000000000000011</c:v>
                </c:pt>
                <c:pt idx="9">
                  <c:v>5.00000000000001E-2</c:v>
                </c:pt>
                <c:pt idx="10">
                  <c:v>0</c:v>
                </c:pt>
              </c:numCache>
            </c:numRef>
          </c:xVal>
          <c:yVal>
            <c:numRef>
              <c:f>'Elevator Load'!$BD$54:$BN$54</c:f>
              <c:numCache>
                <c:formatCode>0.000</c:formatCode>
                <c:ptCount val="11"/>
                <c:pt idx="0">
                  <c:v>65.84020854876124</c:v>
                </c:pt>
                <c:pt idx="1">
                  <c:v>52.7086434088421</c:v>
                </c:pt>
                <c:pt idx="2">
                  <c:v>41.036141062247324</c:v>
                </c:pt>
                <c:pt idx="3">
                  <c:v>30.822701508976873</c:v>
                </c:pt>
                <c:pt idx="4">
                  <c:v>22.068324749030779</c:v>
                </c:pt>
                <c:pt idx="5">
                  <c:v>14.77301078240904</c:v>
                </c:pt>
                <c:pt idx="6">
                  <c:v>8.9367596091116415</c:v>
                </c:pt>
                <c:pt idx="7">
                  <c:v>4.5595712291385961</c:v>
                </c:pt>
                <c:pt idx="8">
                  <c:v>1.6414456424898947</c:v>
                </c:pt>
                <c:pt idx="9">
                  <c:v>0.1823828491655447</c:v>
                </c:pt>
                <c:pt idx="10">
                  <c:v>0</c:v>
                </c:pt>
              </c:numCache>
            </c:numRef>
          </c:yVal>
          <c:smooth val="0"/>
          <c:extLst>
            <c:ext xmlns:c16="http://schemas.microsoft.com/office/drawing/2014/chart" uri="{C3380CC4-5D6E-409C-BE32-E72D297353CC}">
              <c16:uniqueId val="{00000000-0AA9-4F92-ACE1-CF22B1FB6A12}"/>
            </c:ext>
          </c:extLst>
        </c:ser>
        <c:dLbls>
          <c:showLegendKey val="0"/>
          <c:showVal val="0"/>
          <c:showCatName val="0"/>
          <c:showSerName val="0"/>
          <c:showPercent val="0"/>
          <c:showBubbleSize val="0"/>
        </c:dLbls>
        <c:axId val="1010899088"/>
        <c:axId val="1010900400"/>
      </c:scatterChart>
      <c:valAx>
        <c:axId val="10108990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0900400"/>
        <c:crosses val="autoZero"/>
        <c:crossBetween val="midCat"/>
      </c:valAx>
      <c:valAx>
        <c:axId val="1010900400"/>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089908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Tab, Unit Loads and Moment</a:t>
            </a:r>
            <a:r>
              <a:rPr lang="en-US" baseline="0"/>
              <a:t> per ft span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ysClr val="windowText" lastClr="000000"/>
              </a:solidFill>
              <a:round/>
            </a:ln>
            <a:effectLst/>
          </c:spPr>
          <c:marker>
            <c:symbol val="none"/>
          </c:marker>
          <c:xVal>
            <c:numRef>
              <c:f>'Tab Load'!$W$20:$W$49</c:f>
              <c:numCache>
                <c:formatCode>0.000</c:formatCode>
                <c:ptCount val="30"/>
                <c:pt idx="0">
                  <c:v>1.5</c:v>
                </c:pt>
                <c:pt idx="1">
                  <c:v>1.45</c:v>
                </c:pt>
                <c:pt idx="2">
                  <c:v>1.4</c:v>
                </c:pt>
                <c:pt idx="3">
                  <c:v>1.35</c:v>
                </c:pt>
                <c:pt idx="4">
                  <c:v>1.3</c:v>
                </c:pt>
                <c:pt idx="5">
                  <c:v>1.25</c:v>
                </c:pt>
                <c:pt idx="6">
                  <c:v>1.2</c:v>
                </c:pt>
                <c:pt idx="7">
                  <c:v>1.1499999999999999</c:v>
                </c:pt>
                <c:pt idx="8">
                  <c:v>1.1000000000000001</c:v>
                </c:pt>
                <c:pt idx="9">
                  <c:v>1.05</c:v>
                </c:pt>
                <c:pt idx="10">
                  <c:v>1</c:v>
                </c:pt>
                <c:pt idx="11">
                  <c:v>0.95000000000000007</c:v>
                </c:pt>
                <c:pt idx="12">
                  <c:v>0.9</c:v>
                </c:pt>
                <c:pt idx="13">
                  <c:v>0.85</c:v>
                </c:pt>
                <c:pt idx="14">
                  <c:v>0.79999999999999993</c:v>
                </c:pt>
                <c:pt idx="15">
                  <c:v>0.74999999999999989</c:v>
                </c:pt>
                <c:pt idx="16">
                  <c:v>0.69999999999999984</c:v>
                </c:pt>
                <c:pt idx="17">
                  <c:v>0.6499999999999998</c:v>
                </c:pt>
                <c:pt idx="18">
                  <c:v>0.59999999999999976</c:v>
                </c:pt>
                <c:pt idx="19">
                  <c:v>0.54999999999999971</c:v>
                </c:pt>
                <c:pt idx="20">
                  <c:v>0.49999999999999978</c:v>
                </c:pt>
                <c:pt idx="21">
                  <c:v>0.44999999999999973</c:v>
                </c:pt>
                <c:pt idx="22">
                  <c:v>0.39999999999999969</c:v>
                </c:pt>
                <c:pt idx="23">
                  <c:v>0.34999999999999964</c:v>
                </c:pt>
                <c:pt idx="24">
                  <c:v>0.2999999999999996</c:v>
                </c:pt>
                <c:pt idx="25">
                  <c:v>0.24999999999999956</c:v>
                </c:pt>
                <c:pt idx="26">
                  <c:v>0.19999999999999951</c:v>
                </c:pt>
                <c:pt idx="27">
                  <c:v>0.14999999999999947</c:v>
                </c:pt>
                <c:pt idx="28">
                  <c:v>9.9999999999999423E-2</c:v>
                </c:pt>
                <c:pt idx="29">
                  <c:v>4.9999999999999378E-2</c:v>
                </c:pt>
              </c:numCache>
            </c:numRef>
          </c:xVal>
          <c:yVal>
            <c:numRef>
              <c:f>'Tab Load'!$AR$20:$AR$49</c:f>
              <c:numCache>
                <c:formatCode>0.00</c:formatCode>
                <c:ptCount val="30"/>
                <c:pt idx="0">
                  <c:v>27.833817183326605</c:v>
                </c:pt>
                <c:pt idx="1">
                  <c:v>28.293880277265888</c:v>
                </c:pt>
                <c:pt idx="2">
                  <c:v>28.753943371205171</c:v>
                </c:pt>
                <c:pt idx="3">
                  <c:v>29.214006465144458</c:v>
                </c:pt>
                <c:pt idx="4">
                  <c:v>29.674069559083733</c:v>
                </c:pt>
                <c:pt idx="5">
                  <c:v>30.13413265302302</c:v>
                </c:pt>
                <c:pt idx="6">
                  <c:v>30.594195746962306</c:v>
                </c:pt>
                <c:pt idx="7">
                  <c:v>31.054258840901582</c:v>
                </c:pt>
                <c:pt idx="8">
                  <c:v>31.514321934840865</c:v>
                </c:pt>
                <c:pt idx="9">
                  <c:v>31.974385028780148</c:v>
                </c:pt>
                <c:pt idx="10">
                  <c:v>32.434448122719438</c:v>
                </c:pt>
                <c:pt idx="11">
                  <c:v>32.894511216658714</c:v>
                </c:pt>
                <c:pt idx="12">
                  <c:v>33.354574310597997</c:v>
                </c:pt>
                <c:pt idx="13">
                  <c:v>33.814637404537287</c:v>
                </c:pt>
                <c:pt idx="14">
                  <c:v>34.274700498476562</c:v>
                </c:pt>
                <c:pt idx="15">
                  <c:v>34.734763592415845</c:v>
                </c:pt>
                <c:pt idx="16">
                  <c:v>35.194826686355128</c:v>
                </c:pt>
                <c:pt idx="17">
                  <c:v>35.654889780294411</c:v>
                </c:pt>
                <c:pt idx="18">
                  <c:v>36.114952874233687</c:v>
                </c:pt>
                <c:pt idx="19">
                  <c:v>36.575015968172991</c:v>
                </c:pt>
                <c:pt idx="20">
                  <c:v>37.03507906211226</c:v>
                </c:pt>
                <c:pt idx="21">
                  <c:v>37.495142156051543</c:v>
                </c:pt>
                <c:pt idx="22">
                  <c:v>37.955205249990833</c:v>
                </c:pt>
                <c:pt idx="23">
                  <c:v>38.415268343930101</c:v>
                </c:pt>
                <c:pt idx="24">
                  <c:v>38.875331437869391</c:v>
                </c:pt>
                <c:pt idx="25">
                  <c:v>39.335394531808667</c:v>
                </c:pt>
                <c:pt idx="26">
                  <c:v>39.795457625747957</c:v>
                </c:pt>
                <c:pt idx="27">
                  <c:v>40.25552071968724</c:v>
                </c:pt>
                <c:pt idx="28">
                  <c:v>40.715583813626516</c:v>
                </c:pt>
                <c:pt idx="29">
                  <c:v>41.175646907565806</c:v>
                </c:pt>
              </c:numCache>
            </c:numRef>
          </c:yVal>
          <c:smooth val="0"/>
          <c:extLst>
            <c:ext xmlns:c16="http://schemas.microsoft.com/office/drawing/2014/chart" uri="{C3380CC4-5D6E-409C-BE32-E72D297353CC}">
              <c16:uniqueId val="{00000000-8EC3-4F8F-83B3-0335A540AF87}"/>
            </c:ext>
          </c:extLst>
        </c:ser>
        <c:ser>
          <c:idx val="2"/>
          <c:order val="2"/>
          <c:spPr>
            <a:ln w="19050" cap="rnd">
              <a:solidFill>
                <a:sysClr val="windowText" lastClr="000000"/>
              </a:solidFill>
              <a:round/>
            </a:ln>
            <a:effectLst/>
          </c:spPr>
          <c:marker>
            <c:symbol val="none"/>
          </c:marker>
          <c:xVal>
            <c:numRef>
              <c:f>'Tab Load'!$X$20:$X$49</c:f>
              <c:numCache>
                <c:formatCode>0.000</c:formatCode>
                <c:ptCount val="30"/>
                <c:pt idx="0">
                  <c:v>-1.5</c:v>
                </c:pt>
                <c:pt idx="1">
                  <c:v>-1.45</c:v>
                </c:pt>
                <c:pt idx="2">
                  <c:v>-1.4</c:v>
                </c:pt>
                <c:pt idx="3">
                  <c:v>-1.35</c:v>
                </c:pt>
                <c:pt idx="4">
                  <c:v>-1.3</c:v>
                </c:pt>
                <c:pt idx="5">
                  <c:v>-1.25</c:v>
                </c:pt>
                <c:pt idx="6">
                  <c:v>-1.2</c:v>
                </c:pt>
                <c:pt idx="7">
                  <c:v>-1.1499999999999999</c:v>
                </c:pt>
                <c:pt idx="8">
                  <c:v>-1.1000000000000001</c:v>
                </c:pt>
                <c:pt idx="9">
                  <c:v>-1.05</c:v>
                </c:pt>
                <c:pt idx="10">
                  <c:v>-1</c:v>
                </c:pt>
                <c:pt idx="11">
                  <c:v>-0.95000000000000007</c:v>
                </c:pt>
                <c:pt idx="12">
                  <c:v>-0.9</c:v>
                </c:pt>
                <c:pt idx="13">
                  <c:v>-0.85</c:v>
                </c:pt>
                <c:pt idx="14">
                  <c:v>-0.79999999999999993</c:v>
                </c:pt>
                <c:pt idx="15">
                  <c:v>-0.74999999999999989</c:v>
                </c:pt>
                <c:pt idx="16">
                  <c:v>-0.69999999999999984</c:v>
                </c:pt>
                <c:pt idx="17">
                  <c:v>-0.6499999999999998</c:v>
                </c:pt>
                <c:pt idx="18">
                  <c:v>-0.59999999999999976</c:v>
                </c:pt>
                <c:pt idx="19">
                  <c:v>-0.54999999999999971</c:v>
                </c:pt>
                <c:pt idx="20">
                  <c:v>-0.49999999999999978</c:v>
                </c:pt>
                <c:pt idx="21">
                  <c:v>-0.44999999999999973</c:v>
                </c:pt>
                <c:pt idx="22">
                  <c:v>-0.39999999999999969</c:v>
                </c:pt>
                <c:pt idx="23">
                  <c:v>-0.34999999999999964</c:v>
                </c:pt>
                <c:pt idx="24">
                  <c:v>-0.2999999999999996</c:v>
                </c:pt>
                <c:pt idx="25">
                  <c:v>-0.24999999999999956</c:v>
                </c:pt>
                <c:pt idx="26">
                  <c:v>-0.19999999999999951</c:v>
                </c:pt>
                <c:pt idx="27">
                  <c:v>-0.14999999999999947</c:v>
                </c:pt>
                <c:pt idx="28">
                  <c:v>-9.9999999999999423E-2</c:v>
                </c:pt>
                <c:pt idx="29">
                  <c:v>-4.9999999999999378E-2</c:v>
                </c:pt>
              </c:numCache>
            </c:numRef>
          </c:xVal>
          <c:yVal>
            <c:numRef>
              <c:f>'Tab Load'!$AR$20:$AR$49</c:f>
              <c:numCache>
                <c:formatCode>0.00</c:formatCode>
                <c:ptCount val="30"/>
                <c:pt idx="0">
                  <c:v>27.833817183326605</c:v>
                </c:pt>
                <c:pt idx="1">
                  <c:v>28.293880277265888</c:v>
                </c:pt>
                <c:pt idx="2">
                  <c:v>28.753943371205171</c:v>
                </c:pt>
                <c:pt idx="3">
                  <c:v>29.214006465144458</c:v>
                </c:pt>
                <c:pt idx="4">
                  <c:v>29.674069559083733</c:v>
                </c:pt>
                <c:pt idx="5">
                  <c:v>30.13413265302302</c:v>
                </c:pt>
                <c:pt idx="6">
                  <c:v>30.594195746962306</c:v>
                </c:pt>
                <c:pt idx="7">
                  <c:v>31.054258840901582</c:v>
                </c:pt>
                <c:pt idx="8">
                  <c:v>31.514321934840865</c:v>
                </c:pt>
                <c:pt idx="9">
                  <c:v>31.974385028780148</c:v>
                </c:pt>
                <c:pt idx="10">
                  <c:v>32.434448122719438</c:v>
                </c:pt>
                <c:pt idx="11">
                  <c:v>32.894511216658714</c:v>
                </c:pt>
                <c:pt idx="12">
                  <c:v>33.354574310597997</c:v>
                </c:pt>
                <c:pt idx="13">
                  <c:v>33.814637404537287</c:v>
                </c:pt>
                <c:pt idx="14">
                  <c:v>34.274700498476562</c:v>
                </c:pt>
                <c:pt idx="15">
                  <c:v>34.734763592415845</c:v>
                </c:pt>
                <c:pt idx="16">
                  <c:v>35.194826686355128</c:v>
                </c:pt>
                <c:pt idx="17">
                  <c:v>35.654889780294411</c:v>
                </c:pt>
                <c:pt idx="18">
                  <c:v>36.114952874233687</c:v>
                </c:pt>
                <c:pt idx="19">
                  <c:v>36.575015968172991</c:v>
                </c:pt>
                <c:pt idx="20">
                  <c:v>37.03507906211226</c:v>
                </c:pt>
                <c:pt idx="21">
                  <c:v>37.495142156051543</c:v>
                </c:pt>
                <c:pt idx="22">
                  <c:v>37.955205249990833</c:v>
                </c:pt>
                <c:pt idx="23">
                  <c:v>38.415268343930101</c:v>
                </c:pt>
                <c:pt idx="24">
                  <c:v>38.875331437869391</c:v>
                </c:pt>
                <c:pt idx="25">
                  <c:v>39.335394531808667</c:v>
                </c:pt>
                <c:pt idx="26">
                  <c:v>39.795457625747957</c:v>
                </c:pt>
                <c:pt idx="27">
                  <c:v>40.25552071968724</c:v>
                </c:pt>
                <c:pt idx="28">
                  <c:v>40.715583813626516</c:v>
                </c:pt>
                <c:pt idx="29">
                  <c:v>41.175646907565806</c:v>
                </c:pt>
              </c:numCache>
            </c:numRef>
          </c:yVal>
          <c:smooth val="0"/>
          <c:extLst>
            <c:ext xmlns:c16="http://schemas.microsoft.com/office/drawing/2014/chart" uri="{C3380CC4-5D6E-409C-BE32-E72D297353CC}">
              <c16:uniqueId val="{00000002-8EC3-4F8F-83B3-0335A540AF87}"/>
            </c:ext>
          </c:extLst>
        </c:ser>
        <c:dLbls>
          <c:showLegendKey val="0"/>
          <c:showVal val="0"/>
          <c:showCatName val="0"/>
          <c:showSerName val="0"/>
          <c:showPercent val="0"/>
          <c:showBubbleSize val="0"/>
        </c:dLbls>
        <c:axId val="784740528"/>
        <c:axId val="784737904"/>
      </c:scatterChart>
      <c:scatterChart>
        <c:scatterStyle val="lineMarker"/>
        <c:varyColors val="0"/>
        <c:ser>
          <c:idx val="1"/>
          <c:order val="1"/>
          <c:spPr>
            <a:ln w="19050" cap="rnd">
              <a:solidFill>
                <a:sysClr val="windowText" lastClr="000000"/>
              </a:solidFill>
              <a:prstDash val="sysDash"/>
              <a:round/>
            </a:ln>
            <a:effectLst/>
          </c:spPr>
          <c:marker>
            <c:symbol val="none"/>
          </c:marker>
          <c:xVal>
            <c:numRef>
              <c:f>'Tab Load'!$W$20:$W$50</c:f>
              <c:numCache>
                <c:formatCode>0.000</c:formatCode>
                <c:ptCount val="31"/>
                <c:pt idx="0">
                  <c:v>1.5</c:v>
                </c:pt>
                <c:pt idx="1">
                  <c:v>1.45</c:v>
                </c:pt>
                <c:pt idx="2">
                  <c:v>1.4</c:v>
                </c:pt>
                <c:pt idx="3">
                  <c:v>1.35</c:v>
                </c:pt>
                <c:pt idx="4">
                  <c:v>1.3</c:v>
                </c:pt>
                <c:pt idx="5">
                  <c:v>1.25</c:v>
                </c:pt>
                <c:pt idx="6">
                  <c:v>1.2</c:v>
                </c:pt>
                <c:pt idx="7">
                  <c:v>1.1499999999999999</c:v>
                </c:pt>
                <c:pt idx="8">
                  <c:v>1.1000000000000001</c:v>
                </c:pt>
                <c:pt idx="9">
                  <c:v>1.05</c:v>
                </c:pt>
                <c:pt idx="10">
                  <c:v>1</c:v>
                </c:pt>
                <c:pt idx="11">
                  <c:v>0.95000000000000007</c:v>
                </c:pt>
                <c:pt idx="12">
                  <c:v>0.9</c:v>
                </c:pt>
                <c:pt idx="13">
                  <c:v>0.85</c:v>
                </c:pt>
                <c:pt idx="14">
                  <c:v>0.79999999999999993</c:v>
                </c:pt>
                <c:pt idx="15">
                  <c:v>0.74999999999999989</c:v>
                </c:pt>
                <c:pt idx="16">
                  <c:v>0.69999999999999984</c:v>
                </c:pt>
                <c:pt idx="17">
                  <c:v>0.6499999999999998</c:v>
                </c:pt>
                <c:pt idx="18">
                  <c:v>0.59999999999999976</c:v>
                </c:pt>
                <c:pt idx="19">
                  <c:v>0.54999999999999971</c:v>
                </c:pt>
                <c:pt idx="20">
                  <c:v>0.49999999999999978</c:v>
                </c:pt>
                <c:pt idx="21">
                  <c:v>0.44999999999999973</c:v>
                </c:pt>
                <c:pt idx="22">
                  <c:v>0.39999999999999969</c:v>
                </c:pt>
                <c:pt idx="23">
                  <c:v>0.34999999999999964</c:v>
                </c:pt>
                <c:pt idx="24">
                  <c:v>0.2999999999999996</c:v>
                </c:pt>
                <c:pt idx="25">
                  <c:v>0.24999999999999956</c:v>
                </c:pt>
                <c:pt idx="26">
                  <c:v>0.19999999999999951</c:v>
                </c:pt>
                <c:pt idx="27">
                  <c:v>0.14999999999999947</c:v>
                </c:pt>
                <c:pt idx="28">
                  <c:v>9.9999999999999423E-2</c:v>
                </c:pt>
                <c:pt idx="29">
                  <c:v>4.9999999999999378E-2</c:v>
                </c:pt>
              </c:numCache>
            </c:numRef>
          </c:xVal>
          <c:yVal>
            <c:numRef>
              <c:f>'Tab Load'!$AS$20:$AS$49</c:f>
              <c:numCache>
                <c:formatCode>0.00</c:formatCode>
                <c:ptCount val="30"/>
                <c:pt idx="0">
                  <c:v>-6.236836813300962</c:v>
                </c:pt>
                <c:pt idx="1">
                  <c:v>-6.4447171742661187</c:v>
                </c:pt>
                <c:pt idx="2">
                  <c:v>-6.6560054100011978</c:v>
                </c:pt>
                <c:pt idx="3">
                  <c:v>-6.8707015205061968</c:v>
                </c:pt>
                <c:pt idx="4">
                  <c:v>-7.0888055057811128</c:v>
                </c:pt>
                <c:pt idx="5">
                  <c:v>-7.3103173658259557</c:v>
                </c:pt>
                <c:pt idx="6">
                  <c:v>-7.5352371006407157</c:v>
                </c:pt>
                <c:pt idx="7">
                  <c:v>-7.7635647102253955</c:v>
                </c:pt>
                <c:pt idx="8">
                  <c:v>-7.9953001945799977</c:v>
                </c:pt>
                <c:pt idx="9">
                  <c:v>-8.230443553704518</c:v>
                </c:pt>
                <c:pt idx="10">
                  <c:v>-8.4689947875989624</c:v>
                </c:pt>
                <c:pt idx="11">
                  <c:v>-8.7109538962633266</c:v>
                </c:pt>
                <c:pt idx="12">
                  <c:v>-8.9563208796976088</c:v>
                </c:pt>
                <c:pt idx="13">
                  <c:v>-9.2050957379018161</c:v>
                </c:pt>
                <c:pt idx="14">
                  <c:v>-9.4572784708759414</c:v>
                </c:pt>
                <c:pt idx="15">
                  <c:v>-9.7128690786199847</c:v>
                </c:pt>
                <c:pt idx="16">
                  <c:v>-9.9718675611339496</c:v>
                </c:pt>
                <c:pt idx="17">
                  <c:v>-10.234273918417841</c:v>
                </c:pt>
                <c:pt idx="18">
                  <c:v>-10.500088150471646</c:v>
                </c:pt>
                <c:pt idx="19">
                  <c:v>-10.76931025729538</c:v>
                </c:pt>
                <c:pt idx="20">
                  <c:v>-11.041940238889024</c:v>
                </c:pt>
                <c:pt idx="21">
                  <c:v>-11.317978095252593</c:v>
                </c:pt>
                <c:pt idx="22">
                  <c:v>-11.597423826386088</c:v>
                </c:pt>
                <c:pt idx="23">
                  <c:v>-11.880277432289496</c:v>
                </c:pt>
                <c:pt idx="24">
                  <c:v>-12.16653891296283</c:v>
                </c:pt>
                <c:pt idx="25">
                  <c:v>-12.456208268406078</c:v>
                </c:pt>
                <c:pt idx="26">
                  <c:v>-12.749285498619255</c:v>
                </c:pt>
                <c:pt idx="27">
                  <c:v>-13.045770603602348</c:v>
                </c:pt>
                <c:pt idx="28">
                  <c:v>-13.345663583355364</c:v>
                </c:pt>
                <c:pt idx="29">
                  <c:v>-13.648964437878297</c:v>
                </c:pt>
              </c:numCache>
            </c:numRef>
          </c:yVal>
          <c:smooth val="0"/>
          <c:extLst>
            <c:ext xmlns:c16="http://schemas.microsoft.com/office/drawing/2014/chart" uri="{C3380CC4-5D6E-409C-BE32-E72D297353CC}">
              <c16:uniqueId val="{00000001-8EC3-4F8F-83B3-0335A540AF87}"/>
            </c:ext>
          </c:extLst>
        </c:ser>
        <c:ser>
          <c:idx val="3"/>
          <c:order val="3"/>
          <c:spPr>
            <a:ln w="19050" cap="rnd">
              <a:solidFill>
                <a:sysClr val="windowText" lastClr="000000"/>
              </a:solidFill>
              <a:prstDash val="sysDash"/>
              <a:round/>
            </a:ln>
            <a:effectLst/>
          </c:spPr>
          <c:marker>
            <c:symbol val="none"/>
          </c:marker>
          <c:xVal>
            <c:numRef>
              <c:f>'Tab Load'!$X$20:$X$49</c:f>
              <c:numCache>
                <c:formatCode>0.000</c:formatCode>
                <c:ptCount val="30"/>
                <c:pt idx="0">
                  <c:v>-1.5</c:v>
                </c:pt>
                <c:pt idx="1">
                  <c:v>-1.45</c:v>
                </c:pt>
                <c:pt idx="2">
                  <c:v>-1.4</c:v>
                </c:pt>
                <c:pt idx="3">
                  <c:v>-1.35</c:v>
                </c:pt>
                <c:pt idx="4">
                  <c:v>-1.3</c:v>
                </c:pt>
                <c:pt idx="5">
                  <c:v>-1.25</c:v>
                </c:pt>
                <c:pt idx="6">
                  <c:v>-1.2</c:v>
                </c:pt>
                <c:pt idx="7">
                  <c:v>-1.1499999999999999</c:v>
                </c:pt>
                <c:pt idx="8">
                  <c:v>-1.1000000000000001</c:v>
                </c:pt>
                <c:pt idx="9">
                  <c:v>-1.05</c:v>
                </c:pt>
                <c:pt idx="10">
                  <c:v>-1</c:v>
                </c:pt>
                <c:pt idx="11">
                  <c:v>-0.95000000000000007</c:v>
                </c:pt>
                <c:pt idx="12">
                  <c:v>-0.9</c:v>
                </c:pt>
                <c:pt idx="13">
                  <c:v>-0.85</c:v>
                </c:pt>
                <c:pt idx="14">
                  <c:v>-0.79999999999999993</c:v>
                </c:pt>
                <c:pt idx="15">
                  <c:v>-0.74999999999999989</c:v>
                </c:pt>
                <c:pt idx="16">
                  <c:v>-0.69999999999999984</c:v>
                </c:pt>
                <c:pt idx="17">
                  <c:v>-0.6499999999999998</c:v>
                </c:pt>
                <c:pt idx="18">
                  <c:v>-0.59999999999999976</c:v>
                </c:pt>
                <c:pt idx="19">
                  <c:v>-0.54999999999999971</c:v>
                </c:pt>
                <c:pt idx="20">
                  <c:v>-0.49999999999999978</c:v>
                </c:pt>
                <c:pt idx="21">
                  <c:v>-0.44999999999999973</c:v>
                </c:pt>
                <c:pt idx="22">
                  <c:v>-0.39999999999999969</c:v>
                </c:pt>
                <c:pt idx="23">
                  <c:v>-0.34999999999999964</c:v>
                </c:pt>
                <c:pt idx="24">
                  <c:v>-0.2999999999999996</c:v>
                </c:pt>
                <c:pt idx="25">
                  <c:v>-0.24999999999999956</c:v>
                </c:pt>
                <c:pt idx="26">
                  <c:v>-0.19999999999999951</c:v>
                </c:pt>
                <c:pt idx="27">
                  <c:v>-0.14999999999999947</c:v>
                </c:pt>
                <c:pt idx="28">
                  <c:v>-9.9999999999999423E-2</c:v>
                </c:pt>
                <c:pt idx="29">
                  <c:v>-4.9999999999999378E-2</c:v>
                </c:pt>
              </c:numCache>
            </c:numRef>
          </c:xVal>
          <c:yVal>
            <c:numRef>
              <c:f>'Tab Load'!$AS$20:$AS$49</c:f>
              <c:numCache>
                <c:formatCode>0.00</c:formatCode>
                <c:ptCount val="30"/>
                <c:pt idx="0">
                  <c:v>-6.236836813300962</c:v>
                </c:pt>
                <c:pt idx="1">
                  <c:v>-6.4447171742661187</c:v>
                </c:pt>
                <c:pt idx="2">
                  <c:v>-6.6560054100011978</c:v>
                </c:pt>
                <c:pt idx="3">
                  <c:v>-6.8707015205061968</c:v>
                </c:pt>
                <c:pt idx="4">
                  <c:v>-7.0888055057811128</c:v>
                </c:pt>
                <c:pt idx="5">
                  <c:v>-7.3103173658259557</c:v>
                </c:pt>
                <c:pt idx="6">
                  <c:v>-7.5352371006407157</c:v>
                </c:pt>
                <c:pt idx="7">
                  <c:v>-7.7635647102253955</c:v>
                </c:pt>
                <c:pt idx="8">
                  <c:v>-7.9953001945799977</c:v>
                </c:pt>
                <c:pt idx="9">
                  <c:v>-8.230443553704518</c:v>
                </c:pt>
                <c:pt idx="10">
                  <c:v>-8.4689947875989624</c:v>
                </c:pt>
                <c:pt idx="11">
                  <c:v>-8.7109538962633266</c:v>
                </c:pt>
                <c:pt idx="12">
                  <c:v>-8.9563208796976088</c:v>
                </c:pt>
                <c:pt idx="13">
                  <c:v>-9.2050957379018161</c:v>
                </c:pt>
                <c:pt idx="14">
                  <c:v>-9.4572784708759414</c:v>
                </c:pt>
                <c:pt idx="15">
                  <c:v>-9.7128690786199847</c:v>
                </c:pt>
                <c:pt idx="16">
                  <c:v>-9.9718675611339496</c:v>
                </c:pt>
                <c:pt idx="17">
                  <c:v>-10.234273918417841</c:v>
                </c:pt>
                <c:pt idx="18">
                  <c:v>-10.500088150471646</c:v>
                </c:pt>
                <c:pt idx="19">
                  <c:v>-10.76931025729538</c:v>
                </c:pt>
                <c:pt idx="20">
                  <c:v>-11.041940238889024</c:v>
                </c:pt>
                <c:pt idx="21">
                  <c:v>-11.317978095252593</c:v>
                </c:pt>
                <c:pt idx="22">
                  <c:v>-11.597423826386088</c:v>
                </c:pt>
                <c:pt idx="23">
                  <c:v>-11.880277432289496</c:v>
                </c:pt>
                <c:pt idx="24">
                  <c:v>-12.16653891296283</c:v>
                </c:pt>
                <c:pt idx="25">
                  <c:v>-12.456208268406078</c:v>
                </c:pt>
                <c:pt idx="26">
                  <c:v>-12.749285498619255</c:v>
                </c:pt>
                <c:pt idx="27">
                  <c:v>-13.045770603602348</c:v>
                </c:pt>
                <c:pt idx="28">
                  <c:v>-13.345663583355364</c:v>
                </c:pt>
                <c:pt idx="29">
                  <c:v>-13.648964437878297</c:v>
                </c:pt>
              </c:numCache>
            </c:numRef>
          </c:yVal>
          <c:smooth val="0"/>
          <c:extLst>
            <c:ext xmlns:c16="http://schemas.microsoft.com/office/drawing/2014/chart" uri="{C3380CC4-5D6E-409C-BE32-E72D297353CC}">
              <c16:uniqueId val="{00000003-8EC3-4F8F-83B3-0335A540AF87}"/>
            </c:ext>
          </c:extLst>
        </c:ser>
        <c:dLbls>
          <c:showLegendKey val="0"/>
          <c:showVal val="0"/>
          <c:showCatName val="0"/>
          <c:showSerName val="0"/>
          <c:showPercent val="0"/>
          <c:showBubbleSize val="0"/>
        </c:dLbls>
        <c:axId val="783611360"/>
        <c:axId val="749148952"/>
      </c:scatterChart>
      <c:valAx>
        <c:axId val="78474052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Butt Line</a:t>
                </a:r>
                <a:r>
                  <a:rPr lang="en-US" baseline="0"/>
                  <a:t> Position (ft)</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37904"/>
        <c:crosses val="autoZero"/>
        <c:crossBetween val="midCat"/>
      </c:valAx>
      <c:valAx>
        <c:axId val="784737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Load per Unit Span (ib/ft)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40528"/>
        <c:crosses val="autoZero"/>
        <c:crossBetween val="midCat"/>
      </c:valAx>
      <c:valAx>
        <c:axId val="749148952"/>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Moment per Unit Span (ftlb/ft)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3611360"/>
        <c:crosses val="max"/>
        <c:crossBetween val="midCat"/>
      </c:valAx>
      <c:valAx>
        <c:axId val="783611360"/>
        <c:scaling>
          <c:orientation val="minMax"/>
        </c:scaling>
        <c:delete val="1"/>
        <c:axPos val="b"/>
        <c:numFmt formatCode="0.000" sourceLinked="1"/>
        <c:majorTickMark val="out"/>
        <c:minorTickMark val="none"/>
        <c:tickLblPos val="nextTo"/>
        <c:crossAx val="749148952"/>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Rudder, Unit Loads and Moment</a:t>
            </a:r>
            <a:r>
              <a:rPr lang="en-US" baseline="0"/>
              <a:t> per ft span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ysClr val="windowText" lastClr="000000"/>
              </a:solidFill>
              <a:round/>
            </a:ln>
            <a:effectLst/>
          </c:spPr>
          <c:marker>
            <c:symbol val="none"/>
          </c:marker>
          <c:xVal>
            <c:numRef>
              <c:f>'Rudder Load'!$Z$20:$Z$49</c:f>
              <c:numCache>
                <c:formatCode>0.000</c:formatCode>
                <c:ptCount val="30"/>
                <c:pt idx="0">
                  <c:v>8.3333333333333329E-2</c:v>
                </c:pt>
                <c:pt idx="1">
                  <c:v>0.25</c:v>
                </c:pt>
                <c:pt idx="2">
                  <c:v>0.41666666666666663</c:v>
                </c:pt>
                <c:pt idx="3">
                  <c:v>0.58333333333333326</c:v>
                </c:pt>
                <c:pt idx="4">
                  <c:v>0.75</c:v>
                </c:pt>
                <c:pt idx="5">
                  <c:v>0.91666666666666652</c:v>
                </c:pt>
                <c:pt idx="6">
                  <c:v>1.0833333333333333</c:v>
                </c:pt>
                <c:pt idx="7">
                  <c:v>1.25</c:v>
                </c:pt>
                <c:pt idx="8">
                  <c:v>1.4166666666666665</c:v>
                </c:pt>
                <c:pt idx="9">
                  <c:v>1.5833333333333335</c:v>
                </c:pt>
                <c:pt idx="10">
                  <c:v>1.75</c:v>
                </c:pt>
                <c:pt idx="11">
                  <c:v>1.9166666666666667</c:v>
                </c:pt>
                <c:pt idx="12">
                  <c:v>2.083333333333333</c:v>
                </c:pt>
                <c:pt idx="13">
                  <c:v>2.25</c:v>
                </c:pt>
                <c:pt idx="14">
                  <c:v>2.4166666666666661</c:v>
                </c:pt>
                <c:pt idx="15">
                  <c:v>2.583333333333333</c:v>
                </c:pt>
                <c:pt idx="16">
                  <c:v>2.7499999999999991</c:v>
                </c:pt>
                <c:pt idx="17">
                  <c:v>2.9166666666666661</c:v>
                </c:pt>
                <c:pt idx="18">
                  <c:v>3.0833333333333321</c:v>
                </c:pt>
                <c:pt idx="19">
                  <c:v>3.2499999999999991</c:v>
                </c:pt>
                <c:pt idx="20">
                  <c:v>3.4166666666666652</c:v>
                </c:pt>
                <c:pt idx="21">
                  <c:v>3.5833333333333321</c:v>
                </c:pt>
                <c:pt idx="22">
                  <c:v>3.7499999999999982</c:v>
                </c:pt>
                <c:pt idx="23">
                  <c:v>3.9166666666666652</c:v>
                </c:pt>
                <c:pt idx="24">
                  <c:v>4.0833333333333321</c:v>
                </c:pt>
                <c:pt idx="25">
                  <c:v>4.2499999999999982</c:v>
                </c:pt>
                <c:pt idx="26">
                  <c:v>4.4166666666666661</c:v>
                </c:pt>
                <c:pt idx="27">
                  <c:v>4.5833333333333321</c:v>
                </c:pt>
                <c:pt idx="28">
                  <c:v>4.75</c:v>
                </c:pt>
                <c:pt idx="29">
                  <c:v>4.9166666666666661</c:v>
                </c:pt>
              </c:numCache>
            </c:numRef>
          </c:xVal>
          <c:yVal>
            <c:numRef>
              <c:f>'Rudder Load'!$CV$20:$CV$49</c:f>
              <c:numCache>
                <c:formatCode>0.00</c:formatCode>
                <c:ptCount val="30"/>
                <c:pt idx="0">
                  <c:v>47.708382175224898</c:v>
                </c:pt>
                <c:pt idx="1">
                  <c:v>48.756814345743955</c:v>
                </c:pt>
                <c:pt idx="2">
                  <c:v>49.805246516262969</c:v>
                </c:pt>
                <c:pt idx="3">
                  <c:v>50.853678686782033</c:v>
                </c:pt>
                <c:pt idx="4">
                  <c:v>51.902110857301032</c:v>
                </c:pt>
                <c:pt idx="5">
                  <c:v>52.950543027820075</c:v>
                </c:pt>
                <c:pt idx="6">
                  <c:v>53.998975198339103</c:v>
                </c:pt>
                <c:pt idx="7">
                  <c:v>55.047407368858138</c:v>
                </c:pt>
                <c:pt idx="8">
                  <c:v>56.095839539377188</c:v>
                </c:pt>
                <c:pt idx="9">
                  <c:v>57.144271709896181</c:v>
                </c:pt>
                <c:pt idx="10">
                  <c:v>58.192703880415223</c:v>
                </c:pt>
                <c:pt idx="11">
                  <c:v>59.241136050934273</c:v>
                </c:pt>
                <c:pt idx="12">
                  <c:v>60.289568221453308</c:v>
                </c:pt>
                <c:pt idx="13">
                  <c:v>61.338000391972329</c:v>
                </c:pt>
                <c:pt idx="14">
                  <c:v>62.386432562491372</c:v>
                </c:pt>
                <c:pt idx="15">
                  <c:v>63.434864733010379</c:v>
                </c:pt>
                <c:pt idx="16">
                  <c:v>64.483296903529435</c:v>
                </c:pt>
                <c:pt idx="17">
                  <c:v>65.531729074048457</c:v>
                </c:pt>
                <c:pt idx="18">
                  <c:v>66.580161244567464</c:v>
                </c:pt>
                <c:pt idx="19">
                  <c:v>67.628593415086513</c:v>
                </c:pt>
                <c:pt idx="20">
                  <c:v>68.677025585605534</c:v>
                </c:pt>
                <c:pt idx="21">
                  <c:v>69.725457756124584</c:v>
                </c:pt>
                <c:pt idx="22">
                  <c:v>70.773889926643605</c:v>
                </c:pt>
                <c:pt idx="23">
                  <c:v>71.82232209716264</c:v>
                </c:pt>
                <c:pt idx="24">
                  <c:v>72.870754267681662</c:v>
                </c:pt>
                <c:pt idx="25">
                  <c:v>73.919186438200697</c:v>
                </c:pt>
                <c:pt idx="26">
                  <c:v>74.967618608719732</c:v>
                </c:pt>
                <c:pt idx="27">
                  <c:v>76.016050779238753</c:v>
                </c:pt>
                <c:pt idx="28">
                  <c:v>77.064482949757803</c:v>
                </c:pt>
                <c:pt idx="29">
                  <c:v>78.112915120276853</c:v>
                </c:pt>
              </c:numCache>
            </c:numRef>
          </c:yVal>
          <c:smooth val="0"/>
          <c:extLst>
            <c:ext xmlns:c16="http://schemas.microsoft.com/office/drawing/2014/chart" uri="{C3380CC4-5D6E-409C-BE32-E72D297353CC}">
              <c16:uniqueId val="{00000000-012C-4F5B-B0A7-D4C91A757591}"/>
            </c:ext>
          </c:extLst>
        </c:ser>
        <c:dLbls>
          <c:showLegendKey val="0"/>
          <c:showVal val="0"/>
          <c:showCatName val="0"/>
          <c:showSerName val="0"/>
          <c:showPercent val="0"/>
          <c:showBubbleSize val="0"/>
        </c:dLbls>
        <c:axId val="784740528"/>
        <c:axId val="784737904"/>
      </c:scatterChart>
      <c:scatterChart>
        <c:scatterStyle val="lineMarker"/>
        <c:varyColors val="0"/>
        <c:ser>
          <c:idx val="1"/>
          <c:order val="1"/>
          <c:spPr>
            <a:ln w="19050" cap="rnd">
              <a:solidFill>
                <a:sysClr val="windowText" lastClr="000000"/>
              </a:solidFill>
              <a:prstDash val="sysDash"/>
              <a:round/>
            </a:ln>
            <a:effectLst/>
          </c:spPr>
          <c:marker>
            <c:symbol val="none"/>
          </c:marker>
          <c:xVal>
            <c:numRef>
              <c:f>'Rudder Load'!$Z$20:$Z$50</c:f>
              <c:numCache>
                <c:formatCode>0.000</c:formatCode>
                <c:ptCount val="31"/>
                <c:pt idx="0">
                  <c:v>8.3333333333333329E-2</c:v>
                </c:pt>
                <c:pt idx="1">
                  <c:v>0.25</c:v>
                </c:pt>
                <c:pt idx="2">
                  <c:v>0.41666666666666663</c:v>
                </c:pt>
                <c:pt idx="3">
                  <c:v>0.58333333333333326</c:v>
                </c:pt>
                <c:pt idx="4">
                  <c:v>0.75</c:v>
                </c:pt>
                <c:pt idx="5">
                  <c:v>0.91666666666666652</c:v>
                </c:pt>
                <c:pt idx="6">
                  <c:v>1.0833333333333333</c:v>
                </c:pt>
                <c:pt idx="7">
                  <c:v>1.25</c:v>
                </c:pt>
                <c:pt idx="8">
                  <c:v>1.4166666666666665</c:v>
                </c:pt>
                <c:pt idx="9">
                  <c:v>1.5833333333333335</c:v>
                </c:pt>
                <c:pt idx="10">
                  <c:v>1.75</c:v>
                </c:pt>
                <c:pt idx="11">
                  <c:v>1.9166666666666667</c:v>
                </c:pt>
                <c:pt idx="12">
                  <c:v>2.083333333333333</c:v>
                </c:pt>
                <c:pt idx="13">
                  <c:v>2.25</c:v>
                </c:pt>
                <c:pt idx="14">
                  <c:v>2.4166666666666661</c:v>
                </c:pt>
                <c:pt idx="15">
                  <c:v>2.583333333333333</c:v>
                </c:pt>
                <c:pt idx="16">
                  <c:v>2.7499999999999991</c:v>
                </c:pt>
                <c:pt idx="17">
                  <c:v>2.9166666666666661</c:v>
                </c:pt>
                <c:pt idx="18">
                  <c:v>3.0833333333333321</c:v>
                </c:pt>
                <c:pt idx="19">
                  <c:v>3.2499999999999991</c:v>
                </c:pt>
                <c:pt idx="20">
                  <c:v>3.4166666666666652</c:v>
                </c:pt>
                <c:pt idx="21">
                  <c:v>3.5833333333333321</c:v>
                </c:pt>
                <c:pt idx="22">
                  <c:v>3.7499999999999982</c:v>
                </c:pt>
                <c:pt idx="23">
                  <c:v>3.9166666666666652</c:v>
                </c:pt>
                <c:pt idx="24">
                  <c:v>4.0833333333333321</c:v>
                </c:pt>
                <c:pt idx="25">
                  <c:v>4.2499999999999982</c:v>
                </c:pt>
                <c:pt idx="26">
                  <c:v>4.4166666666666661</c:v>
                </c:pt>
                <c:pt idx="27">
                  <c:v>4.5833333333333321</c:v>
                </c:pt>
                <c:pt idx="28">
                  <c:v>4.75</c:v>
                </c:pt>
                <c:pt idx="29">
                  <c:v>4.9166666666666661</c:v>
                </c:pt>
              </c:numCache>
            </c:numRef>
          </c:xVal>
          <c:yVal>
            <c:numRef>
              <c:f>'Rudder Load'!$CW$20:$CW$49</c:f>
              <c:numCache>
                <c:formatCode>0.00</c:formatCode>
                <c:ptCount val="30"/>
                <c:pt idx="0">
                  <c:v>-1.2232806831265781</c:v>
                </c:pt>
                <c:pt idx="1">
                  <c:v>-1.2820998419246614</c:v>
                </c:pt>
                <c:pt idx="2">
                  <c:v>-1.3422924819014546</c:v>
                </c:pt>
                <c:pt idx="3">
                  <c:v>-1.4038586030569535</c:v>
                </c:pt>
                <c:pt idx="4">
                  <c:v>-1.4667982053911588</c:v>
                </c:pt>
                <c:pt idx="5">
                  <c:v>-1.5311112889040726</c:v>
                </c:pt>
                <c:pt idx="6">
                  <c:v>-1.5967978535956935</c:v>
                </c:pt>
                <c:pt idx="7">
                  <c:v>-1.6638578994660205</c:v>
                </c:pt>
                <c:pt idx="8">
                  <c:v>-1.7322914265150557</c:v>
                </c:pt>
                <c:pt idx="9">
                  <c:v>-1.8020984347428008</c:v>
                </c:pt>
                <c:pt idx="10">
                  <c:v>-1.8732789241492502</c:v>
                </c:pt>
                <c:pt idx="11">
                  <c:v>-1.9458328947344055</c:v>
                </c:pt>
                <c:pt idx="12">
                  <c:v>-2.0197603464982712</c:v>
                </c:pt>
                <c:pt idx="13">
                  <c:v>-2.0950612794408427</c:v>
                </c:pt>
                <c:pt idx="14">
                  <c:v>-2.171735693562121</c:v>
                </c:pt>
                <c:pt idx="15">
                  <c:v>-2.2497835888621087</c:v>
                </c:pt>
                <c:pt idx="16">
                  <c:v>-2.3292049653408009</c:v>
                </c:pt>
                <c:pt idx="17">
                  <c:v>-2.4099998229982016</c:v>
                </c:pt>
                <c:pt idx="18">
                  <c:v>-2.4921681618343112</c:v>
                </c:pt>
                <c:pt idx="19">
                  <c:v>-2.575709981849124</c:v>
                </c:pt>
                <c:pt idx="20">
                  <c:v>-2.6606252830426462</c:v>
                </c:pt>
                <c:pt idx="21">
                  <c:v>-2.7469140654148787</c:v>
                </c:pt>
                <c:pt idx="22">
                  <c:v>-2.8345763289658135</c:v>
                </c:pt>
                <c:pt idx="23">
                  <c:v>-2.9236120736954581</c:v>
                </c:pt>
                <c:pt idx="24">
                  <c:v>-3.0140212996038085</c:v>
                </c:pt>
                <c:pt idx="25">
                  <c:v>-3.105804006690867</c:v>
                </c:pt>
                <c:pt idx="26">
                  <c:v>-3.1989601949566331</c:v>
                </c:pt>
                <c:pt idx="27">
                  <c:v>-3.2934898644011095</c:v>
                </c:pt>
                <c:pt idx="28">
                  <c:v>-3.3893930150242881</c:v>
                </c:pt>
                <c:pt idx="29">
                  <c:v>-3.4866696468261762</c:v>
                </c:pt>
              </c:numCache>
            </c:numRef>
          </c:yVal>
          <c:smooth val="0"/>
          <c:extLst>
            <c:ext xmlns:c16="http://schemas.microsoft.com/office/drawing/2014/chart" uri="{C3380CC4-5D6E-409C-BE32-E72D297353CC}">
              <c16:uniqueId val="{00000001-012C-4F5B-B0A7-D4C91A757591}"/>
            </c:ext>
          </c:extLst>
        </c:ser>
        <c:dLbls>
          <c:showLegendKey val="0"/>
          <c:showVal val="0"/>
          <c:showCatName val="0"/>
          <c:showSerName val="0"/>
          <c:showPercent val="0"/>
          <c:showBubbleSize val="0"/>
        </c:dLbls>
        <c:axId val="783611360"/>
        <c:axId val="749148952"/>
      </c:scatterChart>
      <c:valAx>
        <c:axId val="78474052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Span</a:t>
                </a:r>
                <a:r>
                  <a:rPr lang="en-US" baseline="0"/>
                  <a:t> Position (ft)</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37904"/>
        <c:crosses val="autoZero"/>
        <c:crossBetween val="midCat"/>
      </c:valAx>
      <c:valAx>
        <c:axId val="784737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Load per Unit Span (ib/ft)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40528"/>
        <c:crosses val="autoZero"/>
        <c:crossBetween val="midCat"/>
      </c:valAx>
      <c:valAx>
        <c:axId val="749148952"/>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Moment per Unit Span (ftlb/ft)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3611360"/>
        <c:crosses val="max"/>
        <c:crossBetween val="midCat"/>
      </c:valAx>
      <c:valAx>
        <c:axId val="783611360"/>
        <c:scaling>
          <c:orientation val="minMax"/>
        </c:scaling>
        <c:delete val="1"/>
        <c:axPos val="b"/>
        <c:numFmt formatCode="0.000" sourceLinked="1"/>
        <c:majorTickMark val="out"/>
        <c:minorTickMark val="none"/>
        <c:tickLblPos val="nextTo"/>
        <c:crossAx val="749148952"/>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vert="horz"/>
          <a:lstStyle/>
          <a:p>
            <a:pPr>
              <a:defRPr sz="1000" b="0"/>
            </a:pPr>
            <a:r>
              <a:rPr lang="en-US" sz="1000" b="0"/>
              <a:t>Pressure Distribution (lb/sqft)</a:t>
            </a:r>
          </a:p>
        </c:rich>
      </c:tx>
      <c:overlay val="0"/>
      <c:spPr>
        <a:noFill/>
        <a:ln>
          <a:noFill/>
        </a:ln>
        <a:effectLst/>
      </c:spPr>
    </c:title>
    <c:autoTitleDeleted val="0"/>
    <c:view3D>
      <c:rotX val="15"/>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
          <c:y val="0.26657856643511119"/>
          <c:w val="0.9506652945709223"/>
          <c:h val="0.68306786316656665"/>
        </c:manualLayout>
      </c:layout>
      <c:surface3DChart>
        <c:wireframe val="1"/>
        <c:ser>
          <c:idx val="0"/>
          <c:order val="0"/>
          <c:spPr>
            <a:ln w="9525" cap="rnd">
              <a:solidFill>
                <a:schemeClr val="accent5">
                  <a:shade val="41000"/>
                </a:schemeClr>
              </a:solidFill>
              <a:round/>
            </a:ln>
            <a:effectLst/>
          </c:spPr>
          <c:val>
            <c:numRef>
              <c:f>'Rudder Load'!$AQ$20:$AQ$49</c:f>
              <c:numCache>
                <c:formatCode>0.000</c:formatCode>
                <c:ptCount val="30"/>
                <c:pt idx="0">
                  <c:v>128.07130795847749</c:v>
                </c:pt>
                <c:pt idx="1">
                  <c:v>128.07130795847758</c:v>
                </c:pt>
                <c:pt idx="2">
                  <c:v>128.07130795847749</c:v>
                </c:pt>
                <c:pt idx="3">
                  <c:v>128.07130795847749</c:v>
                </c:pt>
                <c:pt idx="4">
                  <c:v>128.07130795847752</c:v>
                </c:pt>
                <c:pt idx="5">
                  <c:v>128.07130795847752</c:v>
                </c:pt>
                <c:pt idx="6">
                  <c:v>128.07130795847752</c:v>
                </c:pt>
                <c:pt idx="7">
                  <c:v>128.07130795847752</c:v>
                </c:pt>
                <c:pt idx="8">
                  <c:v>128.07130795847752</c:v>
                </c:pt>
                <c:pt idx="9">
                  <c:v>128.07130795847746</c:v>
                </c:pt>
                <c:pt idx="10">
                  <c:v>128.07130795847752</c:v>
                </c:pt>
                <c:pt idx="11">
                  <c:v>128.07130795847758</c:v>
                </c:pt>
                <c:pt idx="12">
                  <c:v>128.07130795847752</c:v>
                </c:pt>
                <c:pt idx="13">
                  <c:v>128.07130795847749</c:v>
                </c:pt>
                <c:pt idx="14">
                  <c:v>128.07130795847752</c:v>
                </c:pt>
                <c:pt idx="15">
                  <c:v>128.07130795847746</c:v>
                </c:pt>
                <c:pt idx="16">
                  <c:v>128.07130795847752</c:v>
                </c:pt>
                <c:pt idx="17">
                  <c:v>128.07130795847746</c:v>
                </c:pt>
                <c:pt idx="18">
                  <c:v>128.07130795847746</c:v>
                </c:pt>
                <c:pt idx="19">
                  <c:v>128.07130795847749</c:v>
                </c:pt>
                <c:pt idx="20">
                  <c:v>128.07130795847752</c:v>
                </c:pt>
                <c:pt idx="21">
                  <c:v>128.07130795847749</c:v>
                </c:pt>
                <c:pt idx="22">
                  <c:v>128.07130795847752</c:v>
                </c:pt>
                <c:pt idx="23">
                  <c:v>128.07130795847752</c:v>
                </c:pt>
                <c:pt idx="24">
                  <c:v>128.07130795847752</c:v>
                </c:pt>
                <c:pt idx="25">
                  <c:v>128.07130795847752</c:v>
                </c:pt>
                <c:pt idx="26">
                  <c:v>128.07130795847752</c:v>
                </c:pt>
                <c:pt idx="27">
                  <c:v>128.07130795847752</c:v>
                </c:pt>
                <c:pt idx="28">
                  <c:v>128.07130795847752</c:v>
                </c:pt>
                <c:pt idx="29">
                  <c:v>128.07130795847758</c:v>
                </c:pt>
              </c:numCache>
            </c:numRef>
          </c:val>
          <c:extLst>
            <c:ext xmlns:c16="http://schemas.microsoft.com/office/drawing/2014/chart" uri="{C3380CC4-5D6E-409C-BE32-E72D297353CC}">
              <c16:uniqueId val="{00000000-CCC7-4EB7-AF08-733AC401240E}"/>
            </c:ext>
          </c:extLst>
        </c:ser>
        <c:ser>
          <c:idx val="1"/>
          <c:order val="1"/>
          <c:spPr>
            <a:ln w="9525" cap="rnd">
              <a:solidFill>
                <a:schemeClr val="accent5">
                  <a:shade val="53000"/>
                </a:schemeClr>
              </a:solidFill>
              <a:round/>
            </a:ln>
            <a:effectLst/>
          </c:spPr>
          <c:val>
            <c:numRef>
              <c:f>'Rudder Load'!$AR$20:$AR$49</c:f>
              <c:numCache>
                <c:formatCode>0.000</c:formatCode>
                <c:ptCount val="30"/>
                <c:pt idx="0">
                  <c:v>102.52799999999998</c:v>
                </c:pt>
                <c:pt idx="1">
                  <c:v>102.52800000000003</c:v>
                </c:pt>
                <c:pt idx="2">
                  <c:v>102.52800000000001</c:v>
                </c:pt>
                <c:pt idx="3">
                  <c:v>102.52800000000006</c:v>
                </c:pt>
                <c:pt idx="4">
                  <c:v>102.52799999999995</c:v>
                </c:pt>
                <c:pt idx="5">
                  <c:v>102.52800000000003</c:v>
                </c:pt>
                <c:pt idx="6">
                  <c:v>102.52799999999998</c:v>
                </c:pt>
                <c:pt idx="7">
                  <c:v>102.52799999999998</c:v>
                </c:pt>
                <c:pt idx="8">
                  <c:v>102.52800000000003</c:v>
                </c:pt>
                <c:pt idx="9">
                  <c:v>102.52800000000001</c:v>
                </c:pt>
                <c:pt idx="10">
                  <c:v>102.52799999999998</c:v>
                </c:pt>
                <c:pt idx="11">
                  <c:v>102.52800000000006</c:v>
                </c:pt>
                <c:pt idx="12">
                  <c:v>102.52799999999995</c:v>
                </c:pt>
                <c:pt idx="13">
                  <c:v>102.52800000000001</c:v>
                </c:pt>
                <c:pt idx="14">
                  <c:v>102.52799999999998</c:v>
                </c:pt>
                <c:pt idx="15">
                  <c:v>102.52799999999998</c:v>
                </c:pt>
                <c:pt idx="16">
                  <c:v>102.52800000000001</c:v>
                </c:pt>
                <c:pt idx="17">
                  <c:v>102.52800000000001</c:v>
                </c:pt>
                <c:pt idx="18">
                  <c:v>102.52799999999998</c:v>
                </c:pt>
                <c:pt idx="19">
                  <c:v>102.52800000000003</c:v>
                </c:pt>
                <c:pt idx="20">
                  <c:v>102.52799999999995</c:v>
                </c:pt>
                <c:pt idx="21">
                  <c:v>102.52799999999998</c:v>
                </c:pt>
                <c:pt idx="22">
                  <c:v>102.52800000000006</c:v>
                </c:pt>
                <c:pt idx="23">
                  <c:v>102.52800000000001</c:v>
                </c:pt>
                <c:pt idx="24">
                  <c:v>102.52800000000001</c:v>
                </c:pt>
                <c:pt idx="25">
                  <c:v>102.52800000000001</c:v>
                </c:pt>
                <c:pt idx="26">
                  <c:v>102.52799999999998</c:v>
                </c:pt>
                <c:pt idx="27">
                  <c:v>102.52800000000001</c:v>
                </c:pt>
                <c:pt idx="28">
                  <c:v>102.52800000000001</c:v>
                </c:pt>
                <c:pt idx="29">
                  <c:v>102.52799999999998</c:v>
                </c:pt>
              </c:numCache>
            </c:numRef>
          </c:val>
          <c:extLst>
            <c:ext xmlns:c16="http://schemas.microsoft.com/office/drawing/2014/chart" uri="{C3380CC4-5D6E-409C-BE32-E72D297353CC}">
              <c16:uniqueId val="{00000001-CCC7-4EB7-AF08-733AC401240E}"/>
            </c:ext>
          </c:extLst>
        </c:ser>
        <c:ser>
          <c:idx val="2"/>
          <c:order val="2"/>
          <c:spPr>
            <a:ln w="9525" cap="rnd">
              <a:solidFill>
                <a:schemeClr val="accent5">
                  <a:shade val="65000"/>
                </a:schemeClr>
              </a:solidFill>
              <a:round/>
            </a:ln>
            <a:effectLst/>
          </c:spPr>
          <c:val>
            <c:numRef>
              <c:f>'Rudder Load'!$AS$20:$AS$49</c:f>
              <c:numCache>
                <c:formatCode>0.000</c:formatCode>
                <c:ptCount val="30"/>
                <c:pt idx="0">
                  <c:v>79.822837370242198</c:v>
                </c:pt>
                <c:pt idx="1">
                  <c:v>79.822837370242226</c:v>
                </c:pt>
                <c:pt idx="2">
                  <c:v>79.822837370242169</c:v>
                </c:pt>
                <c:pt idx="3">
                  <c:v>79.822837370242169</c:v>
                </c:pt>
                <c:pt idx="4">
                  <c:v>79.822837370242226</c:v>
                </c:pt>
                <c:pt idx="5">
                  <c:v>79.822837370242169</c:v>
                </c:pt>
                <c:pt idx="6">
                  <c:v>79.822837370242198</c:v>
                </c:pt>
                <c:pt idx="7">
                  <c:v>79.822837370242226</c:v>
                </c:pt>
                <c:pt idx="8">
                  <c:v>79.822837370242254</c:v>
                </c:pt>
                <c:pt idx="9">
                  <c:v>79.822837370242198</c:v>
                </c:pt>
                <c:pt idx="10">
                  <c:v>79.822837370242226</c:v>
                </c:pt>
                <c:pt idx="11">
                  <c:v>79.822837370242254</c:v>
                </c:pt>
                <c:pt idx="12">
                  <c:v>79.822837370242226</c:v>
                </c:pt>
                <c:pt idx="13">
                  <c:v>79.822837370242226</c:v>
                </c:pt>
                <c:pt idx="14">
                  <c:v>79.822837370242169</c:v>
                </c:pt>
                <c:pt idx="15">
                  <c:v>79.822837370242226</c:v>
                </c:pt>
                <c:pt idx="16">
                  <c:v>79.822837370242226</c:v>
                </c:pt>
                <c:pt idx="17">
                  <c:v>79.822837370242269</c:v>
                </c:pt>
                <c:pt idx="18">
                  <c:v>79.822837370242198</c:v>
                </c:pt>
                <c:pt idx="19">
                  <c:v>79.822837370242254</c:v>
                </c:pt>
                <c:pt idx="20">
                  <c:v>79.822837370242198</c:v>
                </c:pt>
                <c:pt idx="21">
                  <c:v>79.822837370242226</c:v>
                </c:pt>
                <c:pt idx="22">
                  <c:v>79.822837370242169</c:v>
                </c:pt>
                <c:pt idx="23">
                  <c:v>79.822837370242254</c:v>
                </c:pt>
                <c:pt idx="24">
                  <c:v>79.822837370242226</c:v>
                </c:pt>
                <c:pt idx="25">
                  <c:v>79.822837370242198</c:v>
                </c:pt>
                <c:pt idx="26">
                  <c:v>79.822837370242269</c:v>
                </c:pt>
                <c:pt idx="27">
                  <c:v>79.822837370242198</c:v>
                </c:pt>
                <c:pt idx="28">
                  <c:v>79.822837370242254</c:v>
                </c:pt>
                <c:pt idx="29">
                  <c:v>79.822837370242198</c:v>
                </c:pt>
              </c:numCache>
            </c:numRef>
          </c:val>
          <c:extLst>
            <c:ext xmlns:c16="http://schemas.microsoft.com/office/drawing/2014/chart" uri="{C3380CC4-5D6E-409C-BE32-E72D297353CC}">
              <c16:uniqueId val="{00000002-CCC7-4EB7-AF08-733AC401240E}"/>
            </c:ext>
          </c:extLst>
        </c:ser>
        <c:ser>
          <c:idx val="3"/>
          <c:order val="3"/>
          <c:spPr>
            <a:ln w="9525" cap="rnd">
              <a:solidFill>
                <a:schemeClr val="accent5">
                  <a:shade val="76000"/>
                </a:schemeClr>
              </a:solidFill>
              <a:round/>
            </a:ln>
            <a:effectLst/>
          </c:spPr>
          <c:val>
            <c:numRef>
              <c:f>'Rudder Load'!$AT$20:$AT$49</c:f>
              <c:numCache>
                <c:formatCode>0.000</c:formatCode>
                <c:ptCount val="30"/>
                <c:pt idx="0">
                  <c:v>59.955820069204144</c:v>
                </c:pt>
                <c:pt idx="1">
                  <c:v>59.955820069204123</c:v>
                </c:pt>
                <c:pt idx="2">
                  <c:v>59.955820069204144</c:v>
                </c:pt>
                <c:pt idx="3">
                  <c:v>59.955820069204201</c:v>
                </c:pt>
                <c:pt idx="4">
                  <c:v>59.955820069204201</c:v>
                </c:pt>
                <c:pt idx="5">
                  <c:v>59.955820069204144</c:v>
                </c:pt>
                <c:pt idx="6">
                  <c:v>59.955820069204179</c:v>
                </c:pt>
                <c:pt idx="7">
                  <c:v>59.955820069204201</c:v>
                </c:pt>
                <c:pt idx="8">
                  <c:v>59.955820069204179</c:v>
                </c:pt>
                <c:pt idx="9">
                  <c:v>59.955820069204123</c:v>
                </c:pt>
                <c:pt idx="10">
                  <c:v>59.955820069204179</c:v>
                </c:pt>
                <c:pt idx="11">
                  <c:v>59.955820069204179</c:v>
                </c:pt>
                <c:pt idx="12">
                  <c:v>59.955820069204179</c:v>
                </c:pt>
                <c:pt idx="13">
                  <c:v>59.955820069204165</c:v>
                </c:pt>
                <c:pt idx="14">
                  <c:v>59.955820069204179</c:v>
                </c:pt>
                <c:pt idx="15">
                  <c:v>59.955820069204179</c:v>
                </c:pt>
                <c:pt idx="16">
                  <c:v>59.955820069204165</c:v>
                </c:pt>
                <c:pt idx="17">
                  <c:v>59.955820069204179</c:v>
                </c:pt>
                <c:pt idx="18">
                  <c:v>59.955820069204165</c:v>
                </c:pt>
                <c:pt idx="19">
                  <c:v>59.955820069204165</c:v>
                </c:pt>
                <c:pt idx="20">
                  <c:v>59.955820069204165</c:v>
                </c:pt>
                <c:pt idx="21">
                  <c:v>59.955820069204165</c:v>
                </c:pt>
                <c:pt idx="22">
                  <c:v>59.955820069204165</c:v>
                </c:pt>
                <c:pt idx="23">
                  <c:v>59.955820069204165</c:v>
                </c:pt>
                <c:pt idx="24">
                  <c:v>59.955820069204165</c:v>
                </c:pt>
                <c:pt idx="25">
                  <c:v>59.955820069204165</c:v>
                </c:pt>
                <c:pt idx="26">
                  <c:v>59.955820069204144</c:v>
                </c:pt>
                <c:pt idx="27">
                  <c:v>59.955820069204144</c:v>
                </c:pt>
                <c:pt idx="28">
                  <c:v>59.955820069204144</c:v>
                </c:pt>
                <c:pt idx="29">
                  <c:v>59.955820069204144</c:v>
                </c:pt>
              </c:numCache>
            </c:numRef>
          </c:val>
          <c:extLst>
            <c:ext xmlns:c16="http://schemas.microsoft.com/office/drawing/2014/chart" uri="{C3380CC4-5D6E-409C-BE32-E72D297353CC}">
              <c16:uniqueId val="{00000003-CCC7-4EB7-AF08-733AC401240E}"/>
            </c:ext>
          </c:extLst>
        </c:ser>
        <c:ser>
          <c:idx val="4"/>
          <c:order val="4"/>
          <c:spPr>
            <a:ln w="9525" cap="rnd">
              <a:solidFill>
                <a:schemeClr val="accent5">
                  <a:shade val="88000"/>
                </a:schemeClr>
              </a:solidFill>
              <a:round/>
            </a:ln>
            <a:effectLst/>
          </c:spPr>
          <c:val>
            <c:numRef>
              <c:f>'Rudder Load'!$AU$20:$AU$49</c:f>
              <c:numCache>
                <c:formatCode>0.000</c:formatCode>
                <c:ptCount val="30"/>
                <c:pt idx="0">
                  <c:v>42.926948096885809</c:v>
                </c:pt>
                <c:pt idx="1">
                  <c:v>42.926948096885837</c:v>
                </c:pt>
                <c:pt idx="2">
                  <c:v>42.926948096885823</c:v>
                </c:pt>
                <c:pt idx="3">
                  <c:v>42.926948096885795</c:v>
                </c:pt>
                <c:pt idx="4">
                  <c:v>42.926948096885823</c:v>
                </c:pt>
                <c:pt idx="5">
                  <c:v>42.926948096885809</c:v>
                </c:pt>
                <c:pt idx="6">
                  <c:v>42.926948096885837</c:v>
                </c:pt>
                <c:pt idx="7">
                  <c:v>42.926948096885823</c:v>
                </c:pt>
                <c:pt idx="8">
                  <c:v>42.926948096885837</c:v>
                </c:pt>
                <c:pt idx="9">
                  <c:v>42.926948096885823</c:v>
                </c:pt>
                <c:pt idx="10">
                  <c:v>42.926948096885795</c:v>
                </c:pt>
                <c:pt idx="11">
                  <c:v>42.926948096885823</c:v>
                </c:pt>
                <c:pt idx="12">
                  <c:v>42.926948096885823</c:v>
                </c:pt>
                <c:pt idx="13">
                  <c:v>42.926948096885837</c:v>
                </c:pt>
                <c:pt idx="14">
                  <c:v>42.926948096885823</c:v>
                </c:pt>
                <c:pt idx="15">
                  <c:v>42.926948096885809</c:v>
                </c:pt>
                <c:pt idx="16">
                  <c:v>42.926948096885823</c:v>
                </c:pt>
                <c:pt idx="17">
                  <c:v>42.926948096885809</c:v>
                </c:pt>
                <c:pt idx="18">
                  <c:v>42.926948096885837</c:v>
                </c:pt>
                <c:pt idx="19">
                  <c:v>42.926948096885823</c:v>
                </c:pt>
                <c:pt idx="20">
                  <c:v>42.926948096885809</c:v>
                </c:pt>
                <c:pt idx="21">
                  <c:v>42.926948096885823</c:v>
                </c:pt>
                <c:pt idx="22">
                  <c:v>42.926948096885809</c:v>
                </c:pt>
                <c:pt idx="23">
                  <c:v>42.926948096885823</c:v>
                </c:pt>
                <c:pt idx="24">
                  <c:v>42.926948096885823</c:v>
                </c:pt>
                <c:pt idx="25">
                  <c:v>42.926948096885837</c:v>
                </c:pt>
                <c:pt idx="26">
                  <c:v>42.926948096885823</c:v>
                </c:pt>
                <c:pt idx="27">
                  <c:v>42.926948096885795</c:v>
                </c:pt>
                <c:pt idx="28">
                  <c:v>42.926948096885823</c:v>
                </c:pt>
                <c:pt idx="29">
                  <c:v>42.926948096885859</c:v>
                </c:pt>
              </c:numCache>
            </c:numRef>
          </c:val>
          <c:extLst>
            <c:ext xmlns:c16="http://schemas.microsoft.com/office/drawing/2014/chart" uri="{C3380CC4-5D6E-409C-BE32-E72D297353CC}">
              <c16:uniqueId val="{00000004-CCC7-4EB7-AF08-733AC401240E}"/>
            </c:ext>
          </c:extLst>
        </c:ser>
        <c:ser>
          <c:idx val="5"/>
          <c:order val="5"/>
          <c:spPr>
            <a:ln w="9525" cap="rnd">
              <a:solidFill>
                <a:schemeClr val="accent5"/>
              </a:solidFill>
              <a:round/>
            </a:ln>
            <a:effectLst/>
          </c:spPr>
          <c:val>
            <c:numRef>
              <c:f>'Rudder Load'!$AV$20:$AV$49</c:f>
              <c:numCache>
                <c:formatCode>0.000</c:formatCode>
                <c:ptCount val="30"/>
                <c:pt idx="0">
                  <c:v>28.7362214532872</c:v>
                </c:pt>
                <c:pt idx="1">
                  <c:v>28.736221453287211</c:v>
                </c:pt>
                <c:pt idx="2">
                  <c:v>28.736221453287222</c:v>
                </c:pt>
                <c:pt idx="3">
                  <c:v>28.736221453287229</c:v>
                </c:pt>
                <c:pt idx="4">
                  <c:v>28.736221453287186</c:v>
                </c:pt>
                <c:pt idx="5">
                  <c:v>28.736221453287211</c:v>
                </c:pt>
                <c:pt idx="6">
                  <c:v>28.736221453287211</c:v>
                </c:pt>
                <c:pt idx="7">
                  <c:v>28.736221453287222</c:v>
                </c:pt>
                <c:pt idx="8">
                  <c:v>28.736221453287229</c:v>
                </c:pt>
                <c:pt idx="9">
                  <c:v>28.736221453287193</c:v>
                </c:pt>
                <c:pt idx="10">
                  <c:v>28.736221453287193</c:v>
                </c:pt>
                <c:pt idx="11">
                  <c:v>28.736221453287211</c:v>
                </c:pt>
                <c:pt idx="12">
                  <c:v>28.736221453287222</c:v>
                </c:pt>
                <c:pt idx="13">
                  <c:v>28.736221453287179</c:v>
                </c:pt>
                <c:pt idx="14">
                  <c:v>28.736221453287193</c:v>
                </c:pt>
                <c:pt idx="15">
                  <c:v>28.736221453287211</c:v>
                </c:pt>
                <c:pt idx="16">
                  <c:v>28.736221453287211</c:v>
                </c:pt>
                <c:pt idx="17">
                  <c:v>28.736221453287222</c:v>
                </c:pt>
                <c:pt idx="18">
                  <c:v>28.736221453287222</c:v>
                </c:pt>
                <c:pt idx="19">
                  <c:v>28.7362214532872</c:v>
                </c:pt>
                <c:pt idx="20">
                  <c:v>28.736221453287211</c:v>
                </c:pt>
                <c:pt idx="21">
                  <c:v>28.736221453287214</c:v>
                </c:pt>
                <c:pt idx="22">
                  <c:v>28.736221453287186</c:v>
                </c:pt>
                <c:pt idx="23">
                  <c:v>28.736221453287222</c:v>
                </c:pt>
                <c:pt idx="24">
                  <c:v>28.7362214532872</c:v>
                </c:pt>
                <c:pt idx="25">
                  <c:v>28.736221453287211</c:v>
                </c:pt>
                <c:pt idx="26">
                  <c:v>28.736221453287214</c:v>
                </c:pt>
                <c:pt idx="27">
                  <c:v>28.736221453287179</c:v>
                </c:pt>
                <c:pt idx="28">
                  <c:v>28.736221453287222</c:v>
                </c:pt>
                <c:pt idx="29">
                  <c:v>28.7362214532872</c:v>
                </c:pt>
              </c:numCache>
            </c:numRef>
          </c:val>
          <c:extLst>
            <c:ext xmlns:c16="http://schemas.microsoft.com/office/drawing/2014/chart" uri="{C3380CC4-5D6E-409C-BE32-E72D297353CC}">
              <c16:uniqueId val="{00000005-CCC7-4EB7-AF08-733AC401240E}"/>
            </c:ext>
          </c:extLst>
        </c:ser>
        <c:ser>
          <c:idx val="6"/>
          <c:order val="6"/>
          <c:spPr>
            <a:ln w="9525" cap="rnd">
              <a:solidFill>
                <a:schemeClr val="accent5">
                  <a:tint val="89000"/>
                </a:schemeClr>
              </a:solidFill>
              <a:round/>
            </a:ln>
            <a:effectLst/>
          </c:spPr>
          <c:val>
            <c:numRef>
              <c:f>'Rudder Load'!$AW$20:$AW$49</c:f>
              <c:numCache>
                <c:formatCode>0.000</c:formatCode>
                <c:ptCount val="30"/>
                <c:pt idx="0">
                  <c:v>17.383640138408317</c:v>
                </c:pt>
                <c:pt idx="1">
                  <c:v>17.3836401384083</c:v>
                </c:pt>
                <c:pt idx="2">
                  <c:v>17.3836401384083</c:v>
                </c:pt>
                <c:pt idx="3">
                  <c:v>17.383640138408325</c:v>
                </c:pt>
                <c:pt idx="4">
                  <c:v>17.383640138408321</c:v>
                </c:pt>
                <c:pt idx="5">
                  <c:v>17.383640138408321</c:v>
                </c:pt>
                <c:pt idx="6">
                  <c:v>17.38364013840831</c:v>
                </c:pt>
                <c:pt idx="7">
                  <c:v>17.383640138408303</c:v>
                </c:pt>
                <c:pt idx="8">
                  <c:v>17.383640138408332</c:v>
                </c:pt>
                <c:pt idx="9">
                  <c:v>17.383640138408325</c:v>
                </c:pt>
                <c:pt idx="10">
                  <c:v>17.383640138408317</c:v>
                </c:pt>
                <c:pt idx="11">
                  <c:v>17.383640138408317</c:v>
                </c:pt>
                <c:pt idx="12">
                  <c:v>17.38364013840831</c:v>
                </c:pt>
                <c:pt idx="13">
                  <c:v>17.383640138408332</c:v>
                </c:pt>
                <c:pt idx="14">
                  <c:v>17.383640138408332</c:v>
                </c:pt>
                <c:pt idx="15">
                  <c:v>17.383640138408325</c:v>
                </c:pt>
                <c:pt idx="16">
                  <c:v>17.383640138408317</c:v>
                </c:pt>
                <c:pt idx="17">
                  <c:v>17.383640138408317</c:v>
                </c:pt>
                <c:pt idx="18">
                  <c:v>17.383640138408303</c:v>
                </c:pt>
                <c:pt idx="19">
                  <c:v>17.383640138408332</c:v>
                </c:pt>
                <c:pt idx="20">
                  <c:v>17.383640138408332</c:v>
                </c:pt>
                <c:pt idx="21">
                  <c:v>17.383640138408321</c:v>
                </c:pt>
                <c:pt idx="22">
                  <c:v>17.383640138408317</c:v>
                </c:pt>
                <c:pt idx="23">
                  <c:v>17.38364013840831</c:v>
                </c:pt>
                <c:pt idx="24">
                  <c:v>17.383640138408303</c:v>
                </c:pt>
                <c:pt idx="25">
                  <c:v>17.383640138408303</c:v>
                </c:pt>
                <c:pt idx="26">
                  <c:v>17.3836401384083</c:v>
                </c:pt>
                <c:pt idx="27">
                  <c:v>17.383640138408289</c:v>
                </c:pt>
                <c:pt idx="28">
                  <c:v>17.383640138408289</c:v>
                </c:pt>
                <c:pt idx="29">
                  <c:v>17.383640138408339</c:v>
                </c:pt>
              </c:numCache>
            </c:numRef>
          </c:val>
          <c:extLst>
            <c:ext xmlns:c16="http://schemas.microsoft.com/office/drawing/2014/chart" uri="{C3380CC4-5D6E-409C-BE32-E72D297353CC}">
              <c16:uniqueId val="{00000006-CCC7-4EB7-AF08-733AC401240E}"/>
            </c:ext>
          </c:extLst>
        </c:ser>
        <c:ser>
          <c:idx val="7"/>
          <c:order val="7"/>
          <c:spPr>
            <a:ln w="9525" cap="rnd">
              <a:solidFill>
                <a:schemeClr val="accent5">
                  <a:tint val="77000"/>
                </a:schemeClr>
              </a:solidFill>
              <a:round/>
            </a:ln>
            <a:effectLst/>
          </c:spPr>
          <c:val>
            <c:numRef>
              <c:f>'Rudder Load'!$AX$20:$AX$49</c:f>
              <c:numCache>
                <c:formatCode>0.000</c:formatCode>
                <c:ptCount val="30"/>
                <c:pt idx="0">
                  <c:v>8.8692041522491429</c:v>
                </c:pt>
                <c:pt idx="1">
                  <c:v>8.8692041522491554</c:v>
                </c:pt>
                <c:pt idx="2">
                  <c:v>8.8692041522491394</c:v>
                </c:pt>
                <c:pt idx="3">
                  <c:v>8.8692041522491518</c:v>
                </c:pt>
                <c:pt idx="4">
                  <c:v>8.8692041522491358</c:v>
                </c:pt>
                <c:pt idx="5">
                  <c:v>8.8692041522491518</c:v>
                </c:pt>
                <c:pt idx="6">
                  <c:v>8.8692041522491323</c:v>
                </c:pt>
                <c:pt idx="7">
                  <c:v>8.8692041522491483</c:v>
                </c:pt>
                <c:pt idx="8">
                  <c:v>8.8692041522491554</c:v>
                </c:pt>
                <c:pt idx="9">
                  <c:v>8.8692041522491429</c:v>
                </c:pt>
                <c:pt idx="10">
                  <c:v>8.8692041522491518</c:v>
                </c:pt>
                <c:pt idx="11">
                  <c:v>8.8692041522491394</c:v>
                </c:pt>
                <c:pt idx="12">
                  <c:v>8.8692041522491518</c:v>
                </c:pt>
                <c:pt idx="13">
                  <c:v>8.8692041522491358</c:v>
                </c:pt>
                <c:pt idx="14">
                  <c:v>8.8692041522491483</c:v>
                </c:pt>
                <c:pt idx="15">
                  <c:v>8.8692041522491358</c:v>
                </c:pt>
                <c:pt idx="16">
                  <c:v>8.8692041522491429</c:v>
                </c:pt>
                <c:pt idx="17">
                  <c:v>8.8692041522491554</c:v>
                </c:pt>
                <c:pt idx="18">
                  <c:v>8.8692041522491394</c:v>
                </c:pt>
                <c:pt idx="19">
                  <c:v>8.8692041522491518</c:v>
                </c:pt>
                <c:pt idx="20">
                  <c:v>8.8692041522491394</c:v>
                </c:pt>
                <c:pt idx="21">
                  <c:v>8.8692041522491483</c:v>
                </c:pt>
                <c:pt idx="22">
                  <c:v>8.8692041522491589</c:v>
                </c:pt>
                <c:pt idx="23">
                  <c:v>8.8692041522491252</c:v>
                </c:pt>
                <c:pt idx="24">
                  <c:v>8.8692041522491358</c:v>
                </c:pt>
                <c:pt idx="25">
                  <c:v>8.8692041522491483</c:v>
                </c:pt>
                <c:pt idx="26">
                  <c:v>8.8692041522491518</c:v>
                </c:pt>
                <c:pt idx="27">
                  <c:v>8.8692041522491589</c:v>
                </c:pt>
                <c:pt idx="28">
                  <c:v>8.8692041522491323</c:v>
                </c:pt>
                <c:pt idx="29">
                  <c:v>8.8692041522491394</c:v>
                </c:pt>
              </c:numCache>
            </c:numRef>
          </c:val>
          <c:extLst>
            <c:ext xmlns:c16="http://schemas.microsoft.com/office/drawing/2014/chart" uri="{C3380CC4-5D6E-409C-BE32-E72D297353CC}">
              <c16:uniqueId val="{00000007-CCC7-4EB7-AF08-733AC401240E}"/>
            </c:ext>
          </c:extLst>
        </c:ser>
        <c:ser>
          <c:idx val="8"/>
          <c:order val="8"/>
          <c:spPr>
            <a:ln w="9525" cap="rnd">
              <a:solidFill>
                <a:schemeClr val="accent5">
                  <a:tint val="65000"/>
                </a:schemeClr>
              </a:solidFill>
              <a:round/>
            </a:ln>
            <a:effectLst/>
          </c:spPr>
          <c:val>
            <c:numRef>
              <c:f>'Rudder Load'!$AY$20:$AY$49</c:f>
              <c:numCache>
                <c:formatCode>0.000</c:formatCode>
                <c:ptCount val="30"/>
                <c:pt idx="0">
                  <c:v>3.1929134948096958</c:v>
                </c:pt>
                <c:pt idx="1">
                  <c:v>3.1929134948096958</c:v>
                </c:pt>
                <c:pt idx="2">
                  <c:v>3.1929134948096971</c:v>
                </c:pt>
                <c:pt idx="3">
                  <c:v>3.192913494809698</c:v>
                </c:pt>
                <c:pt idx="4">
                  <c:v>3.1929134948096993</c:v>
                </c:pt>
                <c:pt idx="5">
                  <c:v>3.1929134948097007</c:v>
                </c:pt>
                <c:pt idx="6">
                  <c:v>3.1929134948097007</c:v>
                </c:pt>
                <c:pt idx="7">
                  <c:v>3.1929134948096864</c:v>
                </c:pt>
                <c:pt idx="8">
                  <c:v>3.1929134948096864</c:v>
                </c:pt>
                <c:pt idx="9">
                  <c:v>3.1929134948096887</c:v>
                </c:pt>
                <c:pt idx="10">
                  <c:v>3.1929134948096887</c:v>
                </c:pt>
                <c:pt idx="11">
                  <c:v>3.1929134948096896</c:v>
                </c:pt>
                <c:pt idx="12">
                  <c:v>3.1929134948096913</c:v>
                </c:pt>
                <c:pt idx="13">
                  <c:v>3.1929134948096922</c:v>
                </c:pt>
                <c:pt idx="14">
                  <c:v>3.1929134948096931</c:v>
                </c:pt>
                <c:pt idx="15">
                  <c:v>3.1929134948096949</c:v>
                </c:pt>
                <c:pt idx="16">
                  <c:v>3.1929134948096949</c:v>
                </c:pt>
                <c:pt idx="17">
                  <c:v>3.1929134948096958</c:v>
                </c:pt>
                <c:pt idx="18">
                  <c:v>3.1929134948096829</c:v>
                </c:pt>
                <c:pt idx="19">
                  <c:v>3.1929134948096971</c:v>
                </c:pt>
                <c:pt idx="20">
                  <c:v>3.1929134948096851</c:v>
                </c:pt>
                <c:pt idx="21">
                  <c:v>3.1929134948096993</c:v>
                </c:pt>
                <c:pt idx="22">
                  <c:v>3.1929134948096873</c:v>
                </c:pt>
                <c:pt idx="23">
                  <c:v>3.1929134948097007</c:v>
                </c:pt>
                <c:pt idx="24">
                  <c:v>3.1929134948096887</c:v>
                </c:pt>
                <c:pt idx="25">
                  <c:v>3.1929134948097015</c:v>
                </c:pt>
                <c:pt idx="26">
                  <c:v>3.1929134948096896</c:v>
                </c:pt>
                <c:pt idx="27">
                  <c:v>3.1929134948097029</c:v>
                </c:pt>
                <c:pt idx="28">
                  <c:v>3.1929134948096922</c:v>
                </c:pt>
                <c:pt idx="29">
                  <c:v>3.1929134948097042</c:v>
                </c:pt>
              </c:numCache>
            </c:numRef>
          </c:val>
          <c:extLst>
            <c:ext xmlns:c16="http://schemas.microsoft.com/office/drawing/2014/chart" uri="{C3380CC4-5D6E-409C-BE32-E72D297353CC}">
              <c16:uniqueId val="{00000008-CCC7-4EB7-AF08-733AC401240E}"/>
            </c:ext>
          </c:extLst>
        </c:ser>
        <c:ser>
          <c:idx val="9"/>
          <c:order val="9"/>
          <c:spPr>
            <a:ln w="9525" cap="rnd">
              <a:solidFill>
                <a:schemeClr val="accent5">
                  <a:tint val="54000"/>
                </a:schemeClr>
              </a:solidFill>
              <a:round/>
            </a:ln>
            <a:effectLst/>
          </c:spPr>
          <c:val>
            <c:numRef>
              <c:f>'Rudder Load'!$AZ$20:$AZ$49</c:f>
              <c:numCache>
                <c:formatCode>0.000</c:formatCode>
                <c:ptCount val="30"/>
                <c:pt idx="0">
                  <c:v>0.3547681660899682</c:v>
                </c:pt>
                <c:pt idx="1">
                  <c:v>0.3547681660899662</c:v>
                </c:pt>
                <c:pt idx="2">
                  <c:v>0.35476816608996442</c:v>
                </c:pt>
                <c:pt idx="3">
                  <c:v>0.35476816608996831</c:v>
                </c:pt>
                <c:pt idx="4">
                  <c:v>0.35476816608996653</c:v>
                </c:pt>
                <c:pt idx="5">
                  <c:v>0.35476816608996486</c:v>
                </c:pt>
                <c:pt idx="6">
                  <c:v>0.35476816608996864</c:v>
                </c:pt>
                <c:pt idx="7">
                  <c:v>0.35476816608996697</c:v>
                </c:pt>
                <c:pt idx="8">
                  <c:v>0.3547681660899652</c:v>
                </c:pt>
                <c:pt idx="9">
                  <c:v>0.35476816608996881</c:v>
                </c:pt>
                <c:pt idx="10">
                  <c:v>0.35476816608996703</c:v>
                </c:pt>
                <c:pt idx="11">
                  <c:v>0.35476816608996559</c:v>
                </c:pt>
                <c:pt idx="12">
                  <c:v>0.35476816608996903</c:v>
                </c:pt>
                <c:pt idx="13">
                  <c:v>0.35476816608996736</c:v>
                </c:pt>
                <c:pt idx="14">
                  <c:v>0.35476816608996586</c:v>
                </c:pt>
                <c:pt idx="15">
                  <c:v>0.35476816608996919</c:v>
                </c:pt>
                <c:pt idx="16">
                  <c:v>0.35476816608996764</c:v>
                </c:pt>
                <c:pt idx="17">
                  <c:v>0.35476816608996625</c:v>
                </c:pt>
                <c:pt idx="18">
                  <c:v>0.35476816608996475</c:v>
                </c:pt>
                <c:pt idx="19">
                  <c:v>0.35476816608996353</c:v>
                </c:pt>
                <c:pt idx="20">
                  <c:v>0.35476816608997092</c:v>
                </c:pt>
                <c:pt idx="21">
                  <c:v>0.35476816608996942</c:v>
                </c:pt>
                <c:pt idx="22">
                  <c:v>0.35476816608996803</c:v>
                </c:pt>
                <c:pt idx="23">
                  <c:v>0.3547681660899667</c:v>
                </c:pt>
                <c:pt idx="24">
                  <c:v>0.35476816608996548</c:v>
                </c:pt>
                <c:pt idx="25">
                  <c:v>0.3547681660899642</c:v>
                </c:pt>
                <c:pt idx="26">
                  <c:v>0.35476816608996292</c:v>
                </c:pt>
                <c:pt idx="27">
                  <c:v>0.35476816608996953</c:v>
                </c:pt>
                <c:pt idx="28">
                  <c:v>0.35476816608996831</c:v>
                </c:pt>
                <c:pt idx="29">
                  <c:v>0.35476816608996714</c:v>
                </c:pt>
              </c:numCache>
            </c:numRef>
          </c:val>
          <c:extLst>
            <c:ext xmlns:c16="http://schemas.microsoft.com/office/drawing/2014/chart" uri="{C3380CC4-5D6E-409C-BE32-E72D297353CC}">
              <c16:uniqueId val="{00000009-CCC7-4EB7-AF08-733AC401240E}"/>
            </c:ext>
          </c:extLst>
        </c:ser>
        <c:ser>
          <c:idx val="10"/>
          <c:order val="10"/>
          <c:spPr>
            <a:ln w="9525" cap="rnd">
              <a:solidFill>
                <a:schemeClr val="accent5">
                  <a:tint val="42000"/>
                </a:schemeClr>
              </a:solidFill>
              <a:round/>
            </a:ln>
            <a:effectLst/>
          </c:spPr>
          <c:val>
            <c:numRef>
              <c:f>'Rudder Load'!$BA$20:$BA$49</c:f>
              <c:numCache>
                <c:formatCode>0.000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extLst>
            <c:ext xmlns:c16="http://schemas.microsoft.com/office/drawing/2014/chart" uri="{C3380CC4-5D6E-409C-BE32-E72D297353CC}">
              <c16:uniqueId val="{0000000A-CCC7-4EB7-AF08-733AC401240E}"/>
            </c:ext>
          </c:extLst>
        </c:ser>
        <c:bandFmts>
          <c:bandFmt>
            <c:idx val="0"/>
            <c:spPr>
              <a:ln w="9525" cap="rnd">
                <a:solidFill>
                  <a:schemeClr val="accent5">
                    <a:shade val="58000"/>
                  </a:schemeClr>
                </a:solidFill>
                <a:round/>
              </a:ln>
              <a:effectLst/>
            </c:spPr>
          </c:bandFmt>
          <c:bandFmt>
            <c:idx val="1"/>
            <c:spPr>
              <a:ln w="9525" cap="rnd">
                <a:solidFill>
                  <a:schemeClr val="accent5">
                    <a:shade val="86000"/>
                  </a:schemeClr>
                </a:solidFill>
                <a:round/>
              </a:ln>
              <a:effectLst/>
            </c:spPr>
          </c:bandFmt>
          <c:bandFmt>
            <c:idx val="2"/>
            <c:spPr>
              <a:ln w="9525" cap="rnd">
                <a:solidFill>
                  <a:schemeClr val="accent5">
                    <a:tint val="86000"/>
                  </a:schemeClr>
                </a:solidFill>
                <a:round/>
              </a:ln>
              <a:effectLst/>
            </c:spPr>
          </c:bandFmt>
          <c:bandFmt>
            <c:idx val="3"/>
            <c:spPr>
              <a:ln w="9525" cap="rnd">
                <a:solidFill>
                  <a:schemeClr val="accent5">
                    <a:tint val="58000"/>
                  </a:schemeClr>
                </a:solidFill>
                <a:round/>
              </a:ln>
              <a:effectLst/>
            </c:spPr>
          </c:bandFmt>
          <c:bandFmt>
            <c:idx val="4"/>
            <c:spPr>
              <a:ln w="9525" cap="rnd">
                <a:solidFill>
                  <a:schemeClr val="accent5">
                    <a:tint val="30000"/>
                  </a:schemeClr>
                </a:solidFill>
                <a:round/>
              </a:ln>
              <a:effectLst/>
            </c:spPr>
          </c:bandFmt>
          <c:bandFmt>
            <c:idx val="5"/>
            <c:spPr>
              <a:ln w="9525" cap="rnd">
                <a:solidFill>
                  <a:schemeClr val="accent5">
                    <a:tint val="2000"/>
                  </a:schemeClr>
                </a:solidFill>
                <a:round/>
              </a:ln>
              <a:effectLst/>
            </c:spPr>
          </c:bandFmt>
          <c:bandFmt>
            <c:idx val="6"/>
            <c:spPr>
              <a:ln w="9525" cap="rnd">
                <a:solidFill>
                  <a:schemeClr val="accent5">
                    <a:tint val="74000"/>
                  </a:schemeClr>
                </a:solidFill>
                <a:round/>
              </a:ln>
              <a:effectLst/>
            </c:spPr>
          </c:bandFmt>
          <c:bandFmt>
            <c:idx val="7"/>
            <c:spPr>
              <a:ln w="9525" cap="rnd">
                <a:solidFill>
                  <a:schemeClr val="accent5">
                    <a:tint val="46000"/>
                  </a:schemeClr>
                </a:solidFill>
                <a:round/>
              </a:ln>
              <a:effectLst/>
            </c:spPr>
          </c:bandFmt>
          <c:bandFmt>
            <c:idx val="8"/>
            <c:spPr>
              <a:ln w="9525" cap="rnd">
                <a:solidFill>
                  <a:schemeClr val="accent5">
                    <a:tint val="18000"/>
                  </a:schemeClr>
                </a:solidFill>
                <a:round/>
              </a:ln>
              <a:effectLst/>
            </c:spPr>
          </c:bandFmt>
          <c:bandFmt>
            <c:idx val="9"/>
            <c:spPr>
              <a:ln w="9525" cap="rnd">
                <a:solidFill>
                  <a:schemeClr val="accent5">
                    <a:tint val="90000"/>
                  </a:schemeClr>
                </a:solidFill>
                <a:round/>
              </a:ln>
              <a:effectLst/>
            </c:spPr>
          </c:bandFmt>
          <c:bandFmt>
            <c:idx val="10"/>
            <c:spPr>
              <a:ln w="9525" cap="rnd">
                <a:solidFill>
                  <a:schemeClr val="accent5">
                    <a:tint val="62000"/>
                  </a:schemeClr>
                </a:solidFill>
                <a:round/>
              </a:ln>
              <a:effectLst/>
            </c:spPr>
          </c:bandFmt>
          <c:bandFmt>
            <c:idx val="11"/>
            <c:spPr>
              <a:ln w="9525" cap="rnd">
                <a:solidFill>
                  <a:schemeClr val="accent5">
                    <a:tint val="34000"/>
                  </a:schemeClr>
                </a:solidFill>
                <a:round/>
              </a:ln>
              <a:effectLst/>
            </c:spPr>
          </c:bandFmt>
          <c:bandFmt>
            <c:idx val="12"/>
            <c:spPr>
              <a:ln w="9525" cap="rnd">
                <a:solidFill>
                  <a:schemeClr val="accent5">
                    <a:tint val="6000"/>
                  </a:schemeClr>
                </a:solidFill>
                <a:round/>
              </a:ln>
              <a:effectLst/>
            </c:spPr>
          </c:bandFmt>
          <c:bandFmt>
            <c:idx val="13"/>
            <c:spPr>
              <a:ln w="9525" cap="rnd">
                <a:solidFill>
                  <a:schemeClr val="accent5">
                    <a:tint val="78000"/>
                  </a:schemeClr>
                </a:solidFill>
                <a:round/>
              </a:ln>
              <a:effectLst/>
            </c:spPr>
          </c:bandFmt>
          <c:bandFmt>
            <c:idx val="14"/>
            <c:spPr>
              <a:ln w="9525" cap="rnd">
                <a:solidFill>
                  <a:schemeClr val="accent5">
                    <a:tint val="50000"/>
                  </a:schemeClr>
                </a:solidFill>
                <a:round/>
              </a:ln>
              <a:effectLst/>
            </c:spPr>
          </c:bandFmt>
        </c:bandFmts>
        <c:axId val="749150592"/>
        <c:axId val="749154856"/>
        <c:axId val="747010864"/>
      </c:surface3DChart>
      <c:catAx>
        <c:axId val="749150592"/>
        <c:scaling>
          <c:orientation val="minMax"/>
        </c:scaling>
        <c:delete val="1"/>
        <c:axPos val="b"/>
        <c:majorTickMark val="out"/>
        <c:minorTickMark val="none"/>
        <c:tickLblPos val="nextTo"/>
        <c:crossAx val="749154856"/>
        <c:crosses val="autoZero"/>
        <c:auto val="1"/>
        <c:lblAlgn val="ctr"/>
        <c:lblOffset val="100"/>
        <c:noMultiLvlLbl val="0"/>
      </c:catAx>
      <c:valAx>
        <c:axId val="749154856"/>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vert="horz"/>
          <a:lstStyle/>
          <a:p>
            <a:pPr>
              <a:defRPr b="0"/>
            </a:pPr>
            <a:endParaRPr lang="en-US"/>
          </a:p>
        </c:txPr>
        <c:crossAx val="749150592"/>
        <c:crosses val="autoZero"/>
        <c:crossBetween val="midCat"/>
      </c:valAx>
      <c:serAx>
        <c:axId val="747010864"/>
        <c:scaling>
          <c:orientation val="minMax"/>
        </c:scaling>
        <c:delete val="1"/>
        <c:axPos val="b"/>
        <c:majorTickMark val="out"/>
        <c:minorTickMark val="none"/>
        <c:tickLblPos val="nextTo"/>
        <c:crossAx val="749154856"/>
        <c:crosses val="autoZero"/>
      </c:serAx>
      <c:spPr>
        <a:noFill/>
        <a:ln>
          <a:noFill/>
        </a:ln>
        <a:effectLst/>
      </c:spPr>
    </c:plotArea>
    <c:plotVisOnly val="1"/>
    <c:dispBlanksAs val="zero"/>
    <c:showDLblsOverMax val="0"/>
  </c:chart>
  <c:spPr>
    <a:noFill/>
    <a:ln w="9525" cap="flat" cmpd="sng" algn="ctr">
      <a:noFill/>
      <a:round/>
    </a:ln>
    <a:effectLst/>
  </c:spPr>
  <c:txPr>
    <a:bodyPr/>
    <a:lstStyle/>
    <a:p>
      <a:pPr>
        <a:defRPr sz="1000" b="1">
          <a:latin typeface="+mn-lt"/>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Flap, Unit Loads and Moment</a:t>
            </a:r>
            <a:r>
              <a:rPr lang="en-US" baseline="0"/>
              <a:t> per ft span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ysClr val="windowText" lastClr="000000"/>
              </a:solidFill>
              <a:round/>
            </a:ln>
            <a:effectLst/>
          </c:spPr>
          <c:marker>
            <c:symbol val="none"/>
          </c:marker>
          <c:xVal>
            <c:numRef>
              <c:f>'Flap Load'!$Z$20:$Z$49</c:f>
              <c:numCache>
                <c:formatCode>0.000</c:formatCode>
                <c:ptCount val="30"/>
                <c:pt idx="0">
                  <c:v>8.3333333333333329E-2</c:v>
                </c:pt>
                <c:pt idx="1">
                  <c:v>0.25</c:v>
                </c:pt>
                <c:pt idx="2">
                  <c:v>0.41666666666666663</c:v>
                </c:pt>
                <c:pt idx="3">
                  <c:v>0.58333333333333326</c:v>
                </c:pt>
                <c:pt idx="4">
                  <c:v>0.75</c:v>
                </c:pt>
                <c:pt idx="5">
                  <c:v>0.91666666666666652</c:v>
                </c:pt>
                <c:pt idx="6">
                  <c:v>1.0833333333333333</c:v>
                </c:pt>
                <c:pt idx="7">
                  <c:v>1.25</c:v>
                </c:pt>
                <c:pt idx="8">
                  <c:v>1.4166666666666665</c:v>
                </c:pt>
                <c:pt idx="9">
                  <c:v>1.5833333333333335</c:v>
                </c:pt>
                <c:pt idx="10">
                  <c:v>1.75</c:v>
                </c:pt>
                <c:pt idx="11">
                  <c:v>1.9166666666666667</c:v>
                </c:pt>
                <c:pt idx="12">
                  <c:v>2.083333333333333</c:v>
                </c:pt>
                <c:pt idx="13">
                  <c:v>2.25</c:v>
                </c:pt>
                <c:pt idx="14">
                  <c:v>2.4166666666666661</c:v>
                </c:pt>
                <c:pt idx="15">
                  <c:v>2.583333333333333</c:v>
                </c:pt>
                <c:pt idx="16">
                  <c:v>2.7499999999999991</c:v>
                </c:pt>
                <c:pt idx="17">
                  <c:v>2.9166666666666661</c:v>
                </c:pt>
                <c:pt idx="18">
                  <c:v>3.0833333333333321</c:v>
                </c:pt>
                <c:pt idx="19">
                  <c:v>3.2499999999999991</c:v>
                </c:pt>
                <c:pt idx="20">
                  <c:v>3.4166666666666652</c:v>
                </c:pt>
                <c:pt idx="21">
                  <c:v>3.5833333333333321</c:v>
                </c:pt>
                <c:pt idx="22">
                  <c:v>3.7499999999999982</c:v>
                </c:pt>
                <c:pt idx="23">
                  <c:v>3.9166666666666652</c:v>
                </c:pt>
                <c:pt idx="24">
                  <c:v>4.0833333333333321</c:v>
                </c:pt>
                <c:pt idx="25">
                  <c:v>4.2499999999999982</c:v>
                </c:pt>
                <c:pt idx="26">
                  <c:v>4.4166666666666661</c:v>
                </c:pt>
                <c:pt idx="27">
                  <c:v>4.5833333333333321</c:v>
                </c:pt>
                <c:pt idx="28">
                  <c:v>4.75</c:v>
                </c:pt>
                <c:pt idx="29">
                  <c:v>4.9166666666666661</c:v>
                </c:pt>
              </c:numCache>
            </c:numRef>
          </c:xVal>
          <c:yVal>
            <c:numRef>
              <c:f>'Flap Load'!$AQ$20:$AQ$49</c:f>
              <c:numCache>
                <c:formatCode>0.00</c:formatCode>
                <c:ptCount val="30"/>
                <c:pt idx="0">
                  <c:v>114.32895040369091</c:v>
                </c:pt>
                <c:pt idx="1">
                  <c:v>116.21868512110728</c:v>
                </c:pt>
                <c:pt idx="2">
                  <c:v>118.10841983852366</c:v>
                </c:pt>
                <c:pt idx="3">
                  <c:v>119.99815455594003</c:v>
                </c:pt>
                <c:pt idx="4">
                  <c:v>121.88788927335641</c:v>
                </c:pt>
                <c:pt idx="5">
                  <c:v>123.77762399077281</c:v>
                </c:pt>
                <c:pt idx="6">
                  <c:v>125.6673587081892</c:v>
                </c:pt>
                <c:pt idx="7">
                  <c:v>127.55709342560556</c:v>
                </c:pt>
                <c:pt idx="8">
                  <c:v>129.44682814302195</c:v>
                </c:pt>
                <c:pt idx="9">
                  <c:v>131.33656286043833</c:v>
                </c:pt>
                <c:pt idx="10">
                  <c:v>133.22629757785472</c:v>
                </c:pt>
                <c:pt idx="11">
                  <c:v>135.11603229527111</c:v>
                </c:pt>
                <c:pt idx="12">
                  <c:v>137.00576701268747</c:v>
                </c:pt>
                <c:pt idx="13">
                  <c:v>138.89550173010386</c:v>
                </c:pt>
                <c:pt idx="14">
                  <c:v>140.78523644752019</c:v>
                </c:pt>
                <c:pt idx="15">
                  <c:v>142.67497116493658</c:v>
                </c:pt>
                <c:pt idx="16">
                  <c:v>144.56470588235294</c:v>
                </c:pt>
                <c:pt idx="17">
                  <c:v>146.45444059976936</c:v>
                </c:pt>
                <c:pt idx="18">
                  <c:v>148.34417531718572</c:v>
                </c:pt>
                <c:pt idx="19">
                  <c:v>150.2339100346021</c:v>
                </c:pt>
                <c:pt idx="20">
                  <c:v>152.12364475201849</c:v>
                </c:pt>
                <c:pt idx="21">
                  <c:v>154.01337946943485</c:v>
                </c:pt>
                <c:pt idx="22">
                  <c:v>155.90311418685124</c:v>
                </c:pt>
                <c:pt idx="23">
                  <c:v>157.79284890426763</c:v>
                </c:pt>
                <c:pt idx="24">
                  <c:v>159.68258362168402</c:v>
                </c:pt>
                <c:pt idx="25">
                  <c:v>161.57231833910038</c:v>
                </c:pt>
                <c:pt idx="26">
                  <c:v>163.46205305651677</c:v>
                </c:pt>
                <c:pt idx="27">
                  <c:v>165.35178777393315</c:v>
                </c:pt>
                <c:pt idx="28">
                  <c:v>167.24152249134954</c:v>
                </c:pt>
                <c:pt idx="29">
                  <c:v>169.13125720876593</c:v>
                </c:pt>
              </c:numCache>
            </c:numRef>
          </c:yVal>
          <c:smooth val="0"/>
          <c:extLst>
            <c:ext xmlns:c16="http://schemas.microsoft.com/office/drawing/2014/chart" uri="{C3380CC4-5D6E-409C-BE32-E72D297353CC}">
              <c16:uniqueId val="{00000000-625C-42B4-B8C1-662FC57C5EDD}"/>
            </c:ext>
          </c:extLst>
        </c:ser>
        <c:dLbls>
          <c:showLegendKey val="0"/>
          <c:showVal val="0"/>
          <c:showCatName val="0"/>
          <c:showSerName val="0"/>
          <c:showPercent val="0"/>
          <c:showBubbleSize val="0"/>
        </c:dLbls>
        <c:axId val="784740528"/>
        <c:axId val="784737904"/>
      </c:scatterChart>
      <c:scatterChart>
        <c:scatterStyle val="lineMarker"/>
        <c:varyColors val="0"/>
        <c:ser>
          <c:idx val="1"/>
          <c:order val="1"/>
          <c:spPr>
            <a:ln w="19050" cap="rnd">
              <a:solidFill>
                <a:sysClr val="windowText" lastClr="000000"/>
              </a:solidFill>
              <a:prstDash val="sysDash"/>
              <a:round/>
            </a:ln>
            <a:effectLst/>
          </c:spPr>
          <c:marker>
            <c:symbol val="none"/>
          </c:marker>
          <c:xVal>
            <c:numRef>
              <c:f>'Flap Load'!$Z$20:$Z$50</c:f>
              <c:numCache>
                <c:formatCode>0.000</c:formatCode>
                <c:ptCount val="31"/>
                <c:pt idx="0">
                  <c:v>8.3333333333333329E-2</c:v>
                </c:pt>
                <c:pt idx="1">
                  <c:v>0.25</c:v>
                </c:pt>
                <c:pt idx="2">
                  <c:v>0.41666666666666663</c:v>
                </c:pt>
                <c:pt idx="3">
                  <c:v>0.58333333333333326</c:v>
                </c:pt>
                <c:pt idx="4">
                  <c:v>0.75</c:v>
                </c:pt>
                <c:pt idx="5">
                  <c:v>0.91666666666666652</c:v>
                </c:pt>
                <c:pt idx="6">
                  <c:v>1.0833333333333333</c:v>
                </c:pt>
                <c:pt idx="7">
                  <c:v>1.25</c:v>
                </c:pt>
                <c:pt idx="8">
                  <c:v>1.4166666666666665</c:v>
                </c:pt>
                <c:pt idx="9">
                  <c:v>1.5833333333333335</c:v>
                </c:pt>
                <c:pt idx="10">
                  <c:v>1.75</c:v>
                </c:pt>
                <c:pt idx="11">
                  <c:v>1.9166666666666667</c:v>
                </c:pt>
                <c:pt idx="12">
                  <c:v>2.083333333333333</c:v>
                </c:pt>
                <c:pt idx="13">
                  <c:v>2.25</c:v>
                </c:pt>
                <c:pt idx="14">
                  <c:v>2.4166666666666661</c:v>
                </c:pt>
                <c:pt idx="15">
                  <c:v>2.583333333333333</c:v>
                </c:pt>
                <c:pt idx="16">
                  <c:v>2.7499999999999991</c:v>
                </c:pt>
                <c:pt idx="17">
                  <c:v>2.9166666666666661</c:v>
                </c:pt>
                <c:pt idx="18">
                  <c:v>3.0833333333333321</c:v>
                </c:pt>
                <c:pt idx="19">
                  <c:v>3.2499999999999991</c:v>
                </c:pt>
                <c:pt idx="20">
                  <c:v>3.4166666666666652</c:v>
                </c:pt>
                <c:pt idx="21">
                  <c:v>3.5833333333333321</c:v>
                </c:pt>
                <c:pt idx="22">
                  <c:v>3.7499999999999982</c:v>
                </c:pt>
                <c:pt idx="23">
                  <c:v>3.9166666666666652</c:v>
                </c:pt>
                <c:pt idx="24">
                  <c:v>4.0833333333333321</c:v>
                </c:pt>
                <c:pt idx="25">
                  <c:v>4.2499999999999982</c:v>
                </c:pt>
                <c:pt idx="26">
                  <c:v>4.4166666666666661</c:v>
                </c:pt>
                <c:pt idx="27">
                  <c:v>4.5833333333333321</c:v>
                </c:pt>
                <c:pt idx="28">
                  <c:v>4.75</c:v>
                </c:pt>
                <c:pt idx="29">
                  <c:v>4.9166666666666661</c:v>
                </c:pt>
              </c:numCache>
            </c:numRef>
          </c:xVal>
          <c:yVal>
            <c:numRef>
              <c:f>'Flap Load'!$AR$20:$AR$49</c:f>
              <c:numCache>
                <c:formatCode>0.00</c:formatCode>
                <c:ptCount val="30"/>
                <c:pt idx="0">
                  <c:v>-102.47261480627111</c:v>
                </c:pt>
                <c:pt idx="1">
                  <c:v>-105.88813533256442</c:v>
                </c:pt>
                <c:pt idx="2">
                  <c:v>-109.35964799863305</c:v>
                </c:pt>
                <c:pt idx="3">
                  <c:v>-112.88715280447693</c:v>
                </c:pt>
                <c:pt idx="4">
                  <c:v>-116.47064975009613</c:v>
                </c:pt>
                <c:pt idx="5">
                  <c:v>-120.11013883549063</c:v>
                </c:pt>
                <c:pt idx="6">
                  <c:v>-123.80562006066047</c:v>
                </c:pt>
                <c:pt idx="7">
                  <c:v>-127.55709342560556</c:v>
                </c:pt>
                <c:pt idx="8">
                  <c:v>-131.36455893032596</c:v>
                </c:pt>
                <c:pt idx="9">
                  <c:v>-135.22801657482171</c:v>
                </c:pt>
                <c:pt idx="10">
                  <c:v>-139.1474663590927</c:v>
                </c:pt>
                <c:pt idx="11">
                  <c:v>-143.122908283139</c:v>
                </c:pt>
                <c:pt idx="12">
                  <c:v>-147.15434234696059</c:v>
                </c:pt>
                <c:pt idx="13">
                  <c:v>-151.24176855055754</c:v>
                </c:pt>
                <c:pt idx="14">
                  <c:v>-155.38518689392976</c:v>
                </c:pt>
                <c:pt idx="15">
                  <c:v>-159.58459737707722</c:v>
                </c:pt>
                <c:pt idx="16">
                  <c:v>-163.84</c:v>
                </c:pt>
                <c:pt idx="17">
                  <c:v>-168.15139476269812</c:v>
                </c:pt>
                <c:pt idx="18">
                  <c:v>-172.5187816651715</c:v>
                </c:pt>
                <c:pt idx="19">
                  <c:v>-176.94216070742027</c:v>
                </c:pt>
                <c:pt idx="20">
                  <c:v>-181.42153188944428</c:v>
                </c:pt>
                <c:pt idx="21">
                  <c:v>-185.95689521124353</c:v>
                </c:pt>
                <c:pt idx="22">
                  <c:v>-190.54825067281814</c:v>
                </c:pt>
                <c:pt idx="23">
                  <c:v>-195.19559827416808</c:v>
                </c:pt>
                <c:pt idx="24">
                  <c:v>-199.89893801529331</c:v>
                </c:pt>
                <c:pt idx="25">
                  <c:v>-204.65826989619379</c:v>
                </c:pt>
                <c:pt idx="26">
                  <c:v>-209.47359391686959</c:v>
                </c:pt>
                <c:pt idx="27">
                  <c:v>-214.34491007732072</c:v>
                </c:pt>
                <c:pt idx="28">
                  <c:v>-219.2722183775472</c:v>
                </c:pt>
                <c:pt idx="29">
                  <c:v>-224.25551881754888</c:v>
                </c:pt>
              </c:numCache>
            </c:numRef>
          </c:yVal>
          <c:smooth val="0"/>
          <c:extLst>
            <c:ext xmlns:c16="http://schemas.microsoft.com/office/drawing/2014/chart" uri="{C3380CC4-5D6E-409C-BE32-E72D297353CC}">
              <c16:uniqueId val="{00000001-625C-42B4-B8C1-662FC57C5EDD}"/>
            </c:ext>
          </c:extLst>
        </c:ser>
        <c:dLbls>
          <c:showLegendKey val="0"/>
          <c:showVal val="0"/>
          <c:showCatName val="0"/>
          <c:showSerName val="0"/>
          <c:showPercent val="0"/>
          <c:showBubbleSize val="0"/>
        </c:dLbls>
        <c:axId val="783611360"/>
        <c:axId val="749148952"/>
      </c:scatterChart>
      <c:valAx>
        <c:axId val="78474052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Span</a:t>
                </a:r>
                <a:r>
                  <a:rPr lang="en-US" baseline="0"/>
                  <a:t> Position (ft)</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37904"/>
        <c:crosses val="autoZero"/>
        <c:crossBetween val="midCat"/>
      </c:valAx>
      <c:valAx>
        <c:axId val="784737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Load per Unit Span (ib/ft)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40528"/>
        <c:crosses val="autoZero"/>
        <c:crossBetween val="midCat"/>
      </c:valAx>
      <c:valAx>
        <c:axId val="749148952"/>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Moment per Unit Span (ftlb/ft)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3611360"/>
        <c:crosses val="max"/>
        <c:crossBetween val="midCat"/>
      </c:valAx>
      <c:valAx>
        <c:axId val="783611360"/>
        <c:scaling>
          <c:orientation val="minMax"/>
        </c:scaling>
        <c:delete val="1"/>
        <c:axPos val="b"/>
        <c:numFmt formatCode="0.000" sourceLinked="1"/>
        <c:majorTickMark val="out"/>
        <c:minorTickMark val="none"/>
        <c:tickLblPos val="nextTo"/>
        <c:crossAx val="749148952"/>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Flap, Unit Loads and Moment</a:t>
            </a:r>
            <a:r>
              <a:rPr lang="en-US" baseline="0"/>
              <a:t> per ft span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ysClr val="windowText" lastClr="000000"/>
              </a:solidFill>
              <a:round/>
            </a:ln>
            <a:effectLst/>
          </c:spPr>
          <c:marker>
            <c:symbol val="none"/>
          </c:marker>
          <c:xVal>
            <c:numRef>
              <c:f>'Flap Load'!$Z$20:$Z$49</c:f>
              <c:numCache>
                <c:formatCode>0.000</c:formatCode>
                <c:ptCount val="30"/>
                <c:pt idx="0">
                  <c:v>8.3333333333333329E-2</c:v>
                </c:pt>
                <c:pt idx="1">
                  <c:v>0.25</c:v>
                </c:pt>
                <c:pt idx="2">
                  <c:v>0.41666666666666663</c:v>
                </c:pt>
                <c:pt idx="3">
                  <c:v>0.58333333333333326</c:v>
                </c:pt>
                <c:pt idx="4">
                  <c:v>0.75</c:v>
                </c:pt>
                <c:pt idx="5">
                  <c:v>0.91666666666666652</c:v>
                </c:pt>
                <c:pt idx="6">
                  <c:v>1.0833333333333333</c:v>
                </c:pt>
                <c:pt idx="7">
                  <c:v>1.25</c:v>
                </c:pt>
                <c:pt idx="8">
                  <c:v>1.4166666666666665</c:v>
                </c:pt>
                <c:pt idx="9">
                  <c:v>1.5833333333333335</c:v>
                </c:pt>
                <c:pt idx="10">
                  <c:v>1.75</c:v>
                </c:pt>
                <c:pt idx="11">
                  <c:v>1.9166666666666667</c:v>
                </c:pt>
                <c:pt idx="12">
                  <c:v>2.083333333333333</c:v>
                </c:pt>
                <c:pt idx="13">
                  <c:v>2.25</c:v>
                </c:pt>
                <c:pt idx="14">
                  <c:v>2.4166666666666661</c:v>
                </c:pt>
                <c:pt idx="15">
                  <c:v>2.583333333333333</c:v>
                </c:pt>
                <c:pt idx="16">
                  <c:v>2.7499999999999991</c:v>
                </c:pt>
                <c:pt idx="17">
                  <c:v>2.9166666666666661</c:v>
                </c:pt>
                <c:pt idx="18">
                  <c:v>3.0833333333333321</c:v>
                </c:pt>
                <c:pt idx="19">
                  <c:v>3.2499999999999991</c:v>
                </c:pt>
                <c:pt idx="20">
                  <c:v>3.4166666666666652</c:v>
                </c:pt>
                <c:pt idx="21">
                  <c:v>3.5833333333333321</c:v>
                </c:pt>
                <c:pt idx="22">
                  <c:v>3.7499999999999982</c:v>
                </c:pt>
                <c:pt idx="23">
                  <c:v>3.9166666666666652</c:v>
                </c:pt>
                <c:pt idx="24">
                  <c:v>4.0833333333333321</c:v>
                </c:pt>
                <c:pt idx="25">
                  <c:v>4.2499999999999982</c:v>
                </c:pt>
                <c:pt idx="26">
                  <c:v>4.4166666666666661</c:v>
                </c:pt>
                <c:pt idx="27">
                  <c:v>4.5833333333333321</c:v>
                </c:pt>
                <c:pt idx="28">
                  <c:v>4.75</c:v>
                </c:pt>
                <c:pt idx="29">
                  <c:v>4.9166666666666661</c:v>
                </c:pt>
              </c:numCache>
            </c:numRef>
          </c:xVal>
          <c:yVal>
            <c:numRef>
              <c:f>'Flap Load'!$AS$20:$AS$49</c:f>
              <c:numCache>
                <c:formatCode>0.00</c:formatCode>
                <c:ptCount val="30"/>
                <c:pt idx="0">
                  <c:v>-28.582237600922728</c:v>
                </c:pt>
                <c:pt idx="1">
                  <c:v>-29.054671280276821</c:v>
                </c:pt>
                <c:pt idx="2">
                  <c:v>-29.527104959630915</c:v>
                </c:pt>
                <c:pt idx="3">
                  <c:v>-29.999538638985008</c:v>
                </c:pt>
                <c:pt idx="4">
                  <c:v>-30.471972318339102</c:v>
                </c:pt>
                <c:pt idx="5">
                  <c:v>-30.944405997693202</c:v>
                </c:pt>
                <c:pt idx="6">
                  <c:v>-31.4168396770473</c:v>
                </c:pt>
                <c:pt idx="7">
                  <c:v>-31.889273356401389</c:v>
                </c:pt>
                <c:pt idx="8">
                  <c:v>-32.361707035755487</c:v>
                </c:pt>
                <c:pt idx="9">
                  <c:v>-32.834140715109584</c:v>
                </c:pt>
                <c:pt idx="10">
                  <c:v>-33.306574394463681</c:v>
                </c:pt>
                <c:pt idx="11">
                  <c:v>-33.779008073817778</c:v>
                </c:pt>
                <c:pt idx="12">
                  <c:v>-34.251441753171868</c:v>
                </c:pt>
                <c:pt idx="13">
                  <c:v>-34.723875432525965</c:v>
                </c:pt>
                <c:pt idx="14">
                  <c:v>-35.196309111880048</c:v>
                </c:pt>
                <c:pt idx="15">
                  <c:v>-35.668742791234145</c:v>
                </c:pt>
                <c:pt idx="16">
                  <c:v>-36.141176470588235</c:v>
                </c:pt>
                <c:pt idx="17">
                  <c:v>-36.613610149942339</c:v>
                </c:pt>
                <c:pt idx="18">
                  <c:v>-37.086043829296429</c:v>
                </c:pt>
                <c:pt idx="19">
                  <c:v>-37.558477508650526</c:v>
                </c:pt>
                <c:pt idx="20">
                  <c:v>-38.030911188004623</c:v>
                </c:pt>
                <c:pt idx="21">
                  <c:v>-38.503344867358713</c:v>
                </c:pt>
                <c:pt idx="22">
                  <c:v>-38.97577854671281</c:v>
                </c:pt>
                <c:pt idx="23">
                  <c:v>-39.448212226066907</c:v>
                </c:pt>
                <c:pt idx="24">
                  <c:v>-39.920645905421004</c:v>
                </c:pt>
                <c:pt idx="25">
                  <c:v>-40.393079584775094</c:v>
                </c:pt>
                <c:pt idx="26">
                  <c:v>-40.865513264129191</c:v>
                </c:pt>
                <c:pt idx="27">
                  <c:v>-41.337946943483288</c:v>
                </c:pt>
                <c:pt idx="28">
                  <c:v>-41.810380622837386</c:v>
                </c:pt>
                <c:pt idx="29">
                  <c:v>-42.282814302191483</c:v>
                </c:pt>
              </c:numCache>
            </c:numRef>
          </c:yVal>
          <c:smooth val="0"/>
          <c:extLst>
            <c:ext xmlns:c16="http://schemas.microsoft.com/office/drawing/2014/chart" uri="{C3380CC4-5D6E-409C-BE32-E72D297353CC}">
              <c16:uniqueId val="{00000000-1B6E-42D0-8D26-0C03798861C8}"/>
            </c:ext>
          </c:extLst>
        </c:ser>
        <c:dLbls>
          <c:showLegendKey val="0"/>
          <c:showVal val="0"/>
          <c:showCatName val="0"/>
          <c:showSerName val="0"/>
          <c:showPercent val="0"/>
          <c:showBubbleSize val="0"/>
        </c:dLbls>
        <c:axId val="784740528"/>
        <c:axId val="784737904"/>
      </c:scatterChart>
      <c:scatterChart>
        <c:scatterStyle val="lineMarker"/>
        <c:varyColors val="0"/>
        <c:ser>
          <c:idx val="1"/>
          <c:order val="1"/>
          <c:spPr>
            <a:ln w="19050" cap="rnd">
              <a:solidFill>
                <a:sysClr val="windowText" lastClr="000000"/>
              </a:solidFill>
              <a:prstDash val="sysDash"/>
              <a:round/>
            </a:ln>
            <a:effectLst/>
          </c:spPr>
          <c:marker>
            <c:symbol val="none"/>
          </c:marker>
          <c:xVal>
            <c:numRef>
              <c:f>'Flap Load'!$Z$20:$Z$50</c:f>
              <c:numCache>
                <c:formatCode>0.000</c:formatCode>
                <c:ptCount val="31"/>
                <c:pt idx="0">
                  <c:v>8.3333333333333329E-2</c:v>
                </c:pt>
                <c:pt idx="1">
                  <c:v>0.25</c:v>
                </c:pt>
                <c:pt idx="2">
                  <c:v>0.41666666666666663</c:v>
                </c:pt>
                <c:pt idx="3">
                  <c:v>0.58333333333333326</c:v>
                </c:pt>
                <c:pt idx="4">
                  <c:v>0.75</c:v>
                </c:pt>
                <c:pt idx="5">
                  <c:v>0.91666666666666652</c:v>
                </c:pt>
                <c:pt idx="6">
                  <c:v>1.0833333333333333</c:v>
                </c:pt>
                <c:pt idx="7">
                  <c:v>1.25</c:v>
                </c:pt>
                <c:pt idx="8">
                  <c:v>1.4166666666666665</c:v>
                </c:pt>
                <c:pt idx="9">
                  <c:v>1.5833333333333335</c:v>
                </c:pt>
                <c:pt idx="10">
                  <c:v>1.75</c:v>
                </c:pt>
                <c:pt idx="11">
                  <c:v>1.9166666666666667</c:v>
                </c:pt>
                <c:pt idx="12">
                  <c:v>2.083333333333333</c:v>
                </c:pt>
                <c:pt idx="13">
                  <c:v>2.25</c:v>
                </c:pt>
                <c:pt idx="14">
                  <c:v>2.4166666666666661</c:v>
                </c:pt>
                <c:pt idx="15">
                  <c:v>2.583333333333333</c:v>
                </c:pt>
                <c:pt idx="16">
                  <c:v>2.7499999999999991</c:v>
                </c:pt>
                <c:pt idx="17">
                  <c:v>2.9166666666666661</c:v>
                </c:pt>
                <c:pt idx="18">
                  <c:v>3.0833333333333321</c:v>
                </c:pt>
                <c:pt idx="19">
                  <c:v>3.2499999999999991</c:v>
                </c:pt>
                <c:pt idx="20">
                  <c:v>3.4166666666666652</c:v>
                </c:pt>
                <c:pt idx="21">
                  <c:v>3.5833333333333321</c:v>
                </c:pt>
                <c:pt idx="22">
                  <c:v>3.7499999999999982</c:v>
                </c:pt>
                <c:pt idx="23">
                  <c:v>3.9166666666666652</c:v>
                </c:pt>
                <c:pt idx="24">
                  <c:v>4.0833333333333321</c:v>
                </c:pt>
                <c:pt idx="25">
                  <c:v>4.2499999999999982</c:v>
                </c:pt>
                <c:pt idx="26">
                  <c:v>4.4166666666666661</c:v>
                </c:pt>
                <c:pt idx="27">
                  <c:v>4.5833333333333321</c:v>
                </c:pt>
                <c:pt idx="28">
                  <c:v>4.75</c:v>
                </c:pt>
                <c:pt idx="29">
                  <c:v>4.9166666666666661</c:v>
                </c:pt>
              </c:numCache>
            </c:numRef>
          </c:xVal>
          <c:yVal>
            <c:numRef>
              <c:f>'Flap Load'!$AT$20:$AT$49</c:f>
              <c:numCache>
                <c:formatCode>0.00</c:formatCode>
                <c:ptCount val="30"/>
                <c:pt idx="0">
                  <c:v>25.618153701567778</c:v>
                </c:pt>
                <c:pt idx="1">
                  <c:v>26.472033833141104</c:v>
                </c:pt>
                <c:pt idx="2">
                  <c:v>27.339911999658263</c:v>
                </c:pt>
                <c:pt idx="3">
                  <c:v>28.221788201119232</c:v>
                </c:pt>
                <c:pt idx="4">
                  <c:v>29.117662437524032</c:v>
                </c:pt>
                <c:pt idx="5">
                  <c:v>30.027534708872658</c:v>
                </c:pt>
                <c:pt idx="6">
                  <c:v>30.951405015165118</c:v>
                </c:pt>
                <c:pt idx="7">
                  <c:v>31.889273356401389</c:v>
                </c:pt>
                <c:pt idx="8">
                  <c:v>32.841139732581489</c:v>
                </c:pt>
                <c:pt idx="9">
                  <c:v>33.807004143705427</c:v>
                </c:pt>
                <c:pt idx="10">
                  <c:v>34.786866589773176</c:v>
                </c:pt>
                <c:pt idx="11">
                  <c:v>35.780727070784749</c:v>
                </c:pt>
                <c:pt idx="12">
                  <c:v>36.788585586740147</c:v>
                </c:pt>
                <c:pt idx="13">
                  <c:v>37.810442137639384</c:v>
                </c:pt>
                <c:pt idx="14">
                  <c:v>38.846296723482439</c:v>
                </c:pt>
                <c:pt idx="15">
                  <c:v>39.896149344269304</c:v>
                </c:pt>
                <c:pt idx="16">
                  <c:v>40.96</c:v>
                </c:pt>
                <c:pt idx="17">
                  <c:v>42.037848690674529</c:v>
                </c:pt>
                <c:pt idx="18">
                  <c:v>43.129695416292876</c:v>
                </c:pt>
                <c:pt idx="19">
                  <c:v>44.235540176855068</c:v>
                </c:pt>
                <c:pt idx="20">
                  <c:v>45.35538297236107</c:v>
                </c:pt>
                <c:pt idx="21">
                  <c:v>46.489223802810884</c:v>
                </c:pt>
                <c:pt idx="22">
                  <c:v>47.637062668204535</c:v>
                </c:pt>
                <c:pt idx="23">
                  <c:v>48.798899568542019</c:v>
                </c:pt>
                <c:pt idx="24">
                  <c:v>49.974734503823328</c:v>
                </c:pt>
                <c:pt idx="25">
                  <c:v>51.164567474048447</c:v>
                </c:pt>
                <c:pt idx="26">
                  <c:v>52.368398479217397</c:v>
                </c:pt>
                <c:pt idx="27">
                  <c:v>53.58622751933018</c:v>
                </c:pt>
                <c:pt idx="28">
                  <c:v>54.818054594386801</c:v>
                </c:pt>
                <c:pt idx="29">
                  <c:v>56.063879704387219</c:v>
                </c:pt>
              </c:numCache>
            </c:numRef>
          </c:yVal>
          <c:smooth val="0"/>
          <c:extLst>
            <c:ext xmlns:c16="http://schemas.microsoft.com/office/drawing/2014/chart" uri="{C3380CC4-5D6E-409C-BE32-E72D297353CC}">
              <c16:uniqueId val="{00000001-1B6E-42D0-8D26-0C03798861C8}"/>
            </c:ext>
          </c:extLst>
        </c:ser>
        <c:dLbls>
          <c:showLegendKey val="0"/>
          <c:showVal val="0"/>
          <c:showCatName val="0"/>
          <c:showSerName val="0"/>
          <c:showPercent val="0"/>
          <c:showBubbleSize val="0"/>
        </c:dLbls>
        <c:axId val="783611360"/>
        <c:axId val="749148952"/>
      </c:scatterChart>
      <c:valAx>
        <c:axId val="78474052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Span</a:t>
                </a:r>
                <a:r>
                  <a:rPr lang="en-US" baseline="0"/>
                  <a:t> Position (ft)</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37904"/>
        <c:crosses val="autoZero"/>
        <c:crossBetween val="midCat"/>
      </c:valAx>
      <c:valAx>
        <c:axId val="784737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Load per Unit Span (ib/ft)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40528"/>
        <c:crosses val="autoZero"/>
        <c:crossBetween val="midCat"/>
      </c:valAx>
      <c:valAx>
        <c:axId val="749148952"/>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Moment per Unit Span (ftlb/ft)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3611360"/>
        <c:crosses val="max"/>
        <c:crossBetween val="midCat"/>
      </c:valAx>
      <c:valAx>
        <c:axId val="783611360"/>
        <c:scaling>
          <c:orientation val="minMax"/>
        </c:scaling>
        <c:delete val="1"/>
        <c:axPos val="b"/>
        <c:numFmt formatCode="0.000" sourceLinked="1"/>
        <c:majorTickMark val="out"/>
        <c:minorTickMark val="none"/>
        <c:tickLblPos val="nextTo"/>
        <c:crossAx val="749148952"/>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13161978822615E-2"/>
          <c:y val="4.4770044770044773E-2"/>
          <c:w val="0.86843269753111951"/>
          <c:h val="0.82125368169671653"/>
        </c:manualLayout>
      </c:layout>
      <c:scatterChart>
        <c:scatterStyle val="lineMarker"/>
        <c:varyColors val="0"/>
        <c:ser>
          <c:idx val="0"/>
          <c:order val="0"/>
          <c:spPr>
            <a:ln w="19050" cap="rnd">
              <a:solidFill>
                <a:schemeClr val="tx1"/>
              </a:solidFill>
              <a:round/>
            </a:ln>
            <a:effectLst/>
          </c:spPr>
          <c:marker>
            <c:symbol val="none"/>
          </c:marker>
          <c:xVal>
            <c:numRef>
              <c:f>Analysis!$W$129:$W$151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Analysis!$X$129:$X$151</c:f>
              <c:numCache>
                <c:formatCode>0.00</c:formatCode>
                <c:ptCount val="23"/>
                <c:pt idx="1">
                  <c:v>1.3742237015008811</c:v>
                </c:pt>
                <c:pt idx="2">
                  <c:v>1.2339468771401767</c:v>
                </c:pt>
                <c:pt idx="3">
                  <c:v>1.138597518597833</c:v>
                </c:pt>
                <c:pt idx="4">
                  <c:v>1.0677809704313193</c:v>
                </c:pt>
                <c:pt idx="5">
                  <c:v>1.0121991383646831</c:v>
                </c:pt>
                <c:pt idx="6">
                  <c:v>0.96689348318850965</c:v>
                </c:pt>
                <c:pt idx="7">
                  <c:v>0.92893255055070945</c:v>
                </c:pt>
                <c:pt idx="8">
                  <c:v>0.86819576230899731</c:v>
                </c:pt>
                <c:pt idx="9">
                  <c:v>0.82108294859425357</c:v>
                </c:pt>
                <c:pt idx="10">
                  <c:v>0.78299768258241931</c:v>
                </c:pt>
                <c:pt idx="11">
                  <c:v>0.75128267738007959</c:v>
                </c:pt>
                <c:pt idx="12">
                  <c:v>0.72427464898020477</c:v>
                </c:pt>
                <c:pt idx="13">
                  <c:v>0.70086924312612331</c:v>
                </c:pt>
                <c:pt idx="14">
                  <c:v>0.68029899849010123</c:v>
                </c:pt>
                <c:pt idx="15">
                  <c:v>0.6620108241756496</c:v>
                </c:pt>
                <c:pt idx="16">
                  <c:v>0.64559410739347756</c:v>
                </c:pt>
                <c:pt idx="17">
                  <c:v>0.62046806825446799</c:v>
                </c:pt>
                <c:pt idx="18">
                  <c:v>0.59894080111790404</c:v>
                </c:pt>
                <c:pt idx="19">
                  <c:v>0.58019460439983916</c:v>
                </c:pt>
                <c:pt idx="20">
                  <c:v>0.55502657741845662</c:v>
                </c:pt>
                <c:pt idx="21">
                  <c:v>0.53561937985188623</c:v>
                </c:pt>
                <c:pt idx="22">
                  <c:v>0.5187370409163693</c:v>
                </c:pt>
              </c:numCache>
            </c:numRef>
          </c:yVal>
          <c:smooth val="1"/>
          <c:extLst>
            <c:ext xmlns:c16="http://schemas.microsoft.com/office/drawing/2014/chart" uri="{C3380CC4-5D6E-409C-BE32-E72D297353CC}">
              <c16:uniqueId val="{00000000-A233-4814-8F04-1EED0FFB0B40}"/>
            </c:ext>
          </c:extLst>
        </c:ser>
        <c:ser>
          <c:idx val="6"/>
          <c:order val="1"/>
          <c:spPr>
            <a:ln w="31750" cap="rnd">
              <a:solidFill>
                <a:schemeClr val="tx1"/>
              </a:solidFill>
              <a:round/>
            </a:ln>
            <a:effectLst/>
          </c:spPr>
          <c:marker>
            <c:symbol val="none"/>
          </c:marker>
          <c:xVal>
            <c:numRef>
              <c:f>Analysis!$W$129:$W$151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Analysis!$AD$129:$AD$151</c:f>
              <c:numCache>
                <c:formatCode>General</c:formatCode>
                <c:ptCount val="23"/>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numCache>
            </c:numRef>
          </c:yVal>
          <c:smooth val="0"/>
          <c:extLst>
            <c:ext xmlns:c16="http://schemas.microsoft.com/office/drawing/2014/chart" uri="{C3380CC4-5D6E-409C-BE32-E72D297353CC}">
              <c16:uniqueId val="{00000006-A233-4814-8F04-1EED0FFB0B40}"/>
            </c:ext>
          </c:extLst>
        </c:ser>
        <c:ser>
          <c:idx val="7"/>
          <c:order val="2"/>
          <c:spPr>
            <a:ln w="22225" cap="rnd">
              <a:solidFill>
                <a:srgbClr val="FF0000"/>
              </a:solidFill>
              <a:round/>
            </a:ln>
            <a:effectLst/>
          </c:spPr>
          <c:marker>
            <c:symbol val="none"/>
          </c:marker>
          <c:xVal>
            <c:numRef>
              <c:f>Analysis!$AF$140:$AF$146</c:f>
              <c:numCache>
                <c:formatCode>0.000</c:formatCode>
                <c:ptCount val="7"/>
                <c:pt idx="0">
                  <c:v>48.223350253807105</c:v>
                </c:pt>
                <c:pt idx="1">
                  <c:v>48.223350253807105</c:v>
                </c:pt>
                <c:pt idx="2">
                  <c:v>0</c:v>
                </c:pt>
                <c:pt idx="4">
                  <c:v>32.791878172588831</c:v>
                </c:pt>
                <c:pt idx="5">
                  <c:v>32.791878172588831</c:v>
                </c:pt>
                <c:pt idx="6">
                  <c:v>0</c:v>
                </c:pt>
              </c:numCache>
            </c:numRef>
          </c:xVal>
          <c:yVal>
            <c:numRef>
              <c:f>Analysis!$AG$140:$AG$146</c:f>
              <c:numCache>
                <c:formatCode>0.000</c:formatCode>
                <c:ptCount val="7"/>
                <c:pt idx="0">
                  <c:v>0</c:v>
                </c:pt>
                <c:pt idx="1">
                  <c:v>0.5816914282866803</c:v>
                </c:pt>
                <c:pt idx="2">
                  <c:v>0.5816914282866803</c:v>
                </c:pt>
                <c:pt idx="4">
                  <c:v>0</c:v>
                </c:pt>
                <c:pt idx="5">
                  <c:v>0.65809685006484264</c:v>
                </c:pt>
                <c:pt idx="6">
                  <c:v>0.65809685006484264</c:v>
                </c:pt>
              </c:numCache>
            </c:numRef>
          </c:yVal>
          <c:smooth val="0"/>
          <c:extLst>
            <c:ext xmlns:c16="http://schemas.microsoft.com/office/drawing/2014/chart" uri="{C3380CC4-5D6E-409C-BE32-E72D297353CC}">
              <c16:uniqueId val="{00000007-A233-4814-8F04-1EED0FFB0B40}"/>
            </c:ext>
          </c:extLst>
        </c:ser>
        <c:ser>
          <c:idx val="1"/>
          <c:order val="3"/>
          <c:spPr>
            <a:ln w="19050" cap="rnd">
              <a:solidFill>
                <a:schemeClr val="tx1"/>
              </a:solidFill>
              <a:round/>
            </a:ln>
            <a:effectLst/>
          </c:spPr>
          <c:marker>
            <c:symbol val="none"/>
          </c:marker>
          <c:xVal>
            <c:numRef>
              <c:f>Analysis!$W$129:$W$151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Analysis!$Y$129:$Y$151</c:f>
              <c:numCache>
                <c:formatCode>0.00</c:formatCode>
                <c:ptCount val="23"/>
                <c:pt idx="1">
                  <c:v>1.2547259883268915</c:v>
                </c:pt>
                <c:pt idx="2">
                  <c:v>1.1266471486932048</c:v>
                </c:pt>
                <c:pt idx="3">
                  <c:v>1.0395890387197606</c:v>
                </c:pt>
                <c:pt idx="4">
                  <c:v>0.97493045126337852</c:v>
                </c:pt>
                <c:pt idx="5">
                  <c:v>0.92418182198514554</c:v>
                </c:pt>
                <c:pt idx="6">
                  <c:v>0.88281578899820456</c:v>
                </c:pt>
                <c:pt idx="7">
                  <c:v>0.84815580702456095</c:v>
                </c:pt>
                <c:pt idx="8">
                  <c:v>0.79270047862995408</c:v>
                </c:pt>
                <c:pt idx="9">
                  <c:v>0.74968443132518814</c:v>
                </c:pt>
                <c:pt idx="10">
                  <c:v>0.71491092757525243</c:v>
                </c:pt>
                <c:pt idx="11">
                  <c:v>0.6859537489122467</c:v>
                </c:pt>
                <c:pt idx="12">
                  <c:v>0.66129424472105669</c:v>
                </c:pt>
                <c:pt idx="13">
                  <c:v>0.63992409154993879</c:v>
                </c:pt>
                <c:pt idx="14">
                  <c:v>0.62114256383878808</c:v>
                </c:pt>
                <c:pt idx="15">
                  <c:v>0.60444466555168008</c:v>
                </c:pt>
                <c:pt idx="16">
                  <c:v>0.58945548935926229</c:v>
                </c:pt>
                <c:pt idx="17">
                  <c:v>0.56651432318886219</c:v>
                </c:pt>
                <c:pt idx="18">
                  <c:v>0.54685899232504287</c:v>
                </c:pt>
                <c:pt idx="19">
                  <c:v>0.52974289966941845</c:v>
                </c:pt>
                <c:pt idx="20">
                  <c:v>0.50676339677337356</c:v>
                </c:pt>
                <c:pt idx="21">
                  <c:v>0.48904378160389622</c:v>
                </c:pt>
                <c:pt idx="22">
                  <c:v>0.4736294721410329</c:v>
                </c:pt>
              </c:numCache>
            </c:numRef>
          </c:yVal>
          <c:smooth val="0"/>
          <c:extLst>
            <c:ext xmlns:c16="http://schemas.microsoft.com/office/drawing/2014/chart" uri="{C3380CC4-5D6E-409C-BE32-E72D297353CC}">
              <c16:uniqueId val="{00000008-A233-4814-8F04-1EED0FFB0B40}"/>
            </c:ext>
          </c:extLst>
        </c:ser>
        <c:ser>
          <c:idx val="2"/>
          <c:order val="4"/>
          <c:spPr>
            <a:ln w="19050" cap="rnd">
              <a:solidFill>
                <a:schemeClr val="tx1"/>
              </a:solidFill>
              <a:round/>
            </a:ln>
            <a:effectLst/>
          </c:spPr>
          <c:marker>
            <c:symbol val="none"/>
          </c:marker>
          <c:xVal>
            <c:numRef>
              <c:f>Analysis!$W$129:$W$151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Analysis!$Z$129:$Z$151</c:f>
              <c:numCache>
                <c:formatCode>0.00</c:formatCode>
                <c:ptCount val="23"/>
                <c:pt idx="1">
                  <c:v>1.1352282751529019</c:v>
                </c:pt>
                <c:pt idx="2">
                  <c:v>1.0193474202462329</c:v>
                </c:pt>
                <c:pt idx="3">
                  <c:v>0.94058055884168812</c:v>
                </c:pt>
                <c:pt idx="4">
                  <c:v>0.88207993209543756</c:v>
                </c:pt>
                <c:pt idx="5">
                  <c:v>0.83616450560560784</c:v>
                </c:pt>
                <c:pt idx="6">
                  <c:v>0.79873809480789937</c:v>
                </c:pt>
                <c:pt idx="7">
                  <c:v>0.76737906349841212</c:v>
                </c:pt>
                <c:pt idx="8">
                  <c:v>0.71720519495091084</c:v>
                </c:pt>
                <c:pt idx="9">
                  <c:v>0.67828591405612249</c:v>
                </c:pt>
                <c:pt idx="10">
                  <c:v>0.64682417256808555</c:v>
                </c:pt>
                <c:pt idx="11">
                  <c:v>0.62062482044441358</c:v>
                </c:pt>
                <c:pt idx="12">
                  <c:v>0.59831384046190828</c:v>
                </c:pt>
                <c:pt idx="13">
                  <c:v>0.57897893997375405</c:v>
                </c:pt>
                <c:pt idx="14">
                  <c:v>0.56198612918747493</c:v>
                </c:pt>
                <c:pt idx="15">
                  <c:v>0.54687850692771056</c:v>
                </c:pt>
                <c:pt idx="16">
                  <c:v>0.53331687132504668</c:v>
                </c:pt>
                <c:pt idx="17">
                  <c:v>0.51256057812325617</c:v>
                </c:pt>
                <c:pt idx="18">
                  <c:v>0.49477718353218164</c:v>
                </c:pt>
                <c:pt idx="19">
                  <c:v>0.47929119493899758</c:v>
                </c:pt>
                <c:pt idx="20">
                  <c:v>0.45850021612829028</c:v>
                </c:pt>
                <c:pt idx="21">
                  <c:v>0.44246818335590604</c:v>
                </c:pt>
                <c:pt idx="22">
                  <c:v>0.4285219033656964</c:v>
                </c:pt>
              </c:numCache>
            </c:numRef>
          </c:yVal>
          <c:smooth val="0"/>
          <c:extLst>
            <c:ext xmlns:c16="http://schemas.microsoft.com/office/drawing/2014/chart" uri="{C3380CC4-5D6E-409C-BE32-E72D297353CC}">
              <c16:uniqueId val="{00000009-A233-4814-8F04-1EED0FFB0B40}"/>
            </c:ext>
          </c:extLst>
        </c:ser>
        <c:ser>
          <c:idx val="3"/>
          <c:order val="5"/>
          <c:spPr>
            <a:ln w="19050" cap="rnd">
              <a:solidFill>
                <a:schemeClr val="tx1"/>
              </a:solidFill>
              <a:round/>
            </a:ln>
            <a:effectLst/>
          </c:spPr>
          <c:marker>
            <c:symbol val="none"/>
          </c:marker>
          <c:xVal>
            <c:numRef>
              <c:f>Analysis!$W$129:$W$151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Analysis!$AA$129:$AA$151</c:f>
              <c:numCache>
                <c:formatCode>0.00</c:formatCode>
                <c:ptCount val="23"/>
                <c:pt idx="1">
                  <c:v>1.0276803332963111</c:v>
                </c:pt>
                <c:pt idx="2">
                  <c:v>0.92277766464395816</c:v>
                </c:pt>
                <c:pt idx="3">
                  <c:v>0.85147292695142296</c:v>
                </c:pt>
                <c:pt idx="4">
                  <c:v>0.79851446484429089</c:v>
                </c:pt>
                <c:pt idx="5">
                  <c:v>0.75694892086402399</c:v>
                </c:pt>
                <c:pt idx="6">
                  <c:v>0.72306817003662471</c:v>
                </c:pt>
                <c:pt idx="7">
                  <c:v>0.69467999432487837</c:v>
                </c:pt>
                <c:pt idx="8">
                  <c:v>0.64925943963977195</c:v>
                </c:pt>
                <c:pt idx="9">
                  <c:v>0.61402724851396351</c:v>
                </c:pt>
                <c:pt idx="10">
                  <c:v>0.5855460930616353</c:v>
                </c:pt>
                <c:pt idx="11">
                  <c:v>0.56182878482336396</c:v>
                </c:pt>
                <c:pt idx="12">
                  <c:v>0.54163147662867495</c:v>
                </c:pt>
                <c:pt idx="13">
                  <c:v>0.52412830355518791</c:v>
                </c:pt>
                <c:pt idx="14">
                  <c:v>0.50874533800129307</c:v>
                </c:pt>
                <c:pt idx="15">
                  <c:v>0.49506896416613799</c:v>
                </c:pt>
                <c:pt idx="16">
                  <c:v>0.48279211509425285</c:v>
                </c:pt>
                <c:pt idx="17">
                  <c:v>0.4640022075642109</c:v>
                </c:pt>
                <c:pt idx="18">
                  <c:v>0.44790355561860656</c:v>
                </c:pt>
                <c:pt idx="19">
                  <c:v>0.43388466068161885</c:v>
                </c:pt>
                <c:pt idx="20">
                  <c:v>0.41506335354771545</c:v>
                </c:pt>
                <c:pt idx="21">
                  <c:v>0.40055014493271496</c:v>
                </c:pt>
                <c:pt idx="22">
                  <c:v>0.38792509146789361</c:v>
                </c:pt>
              </c:numCache>
            </c:numRef>
          </c:yVal>
          <c:smooth val="0"/>
          <c:extLst>
            <c:ext xmlns:c16="http://schemas.microsoft.com/office/drawing/2014/chart" uri="{C3380CC4-5D6E-409C-BE32-E72D297353CC}">
              <c16:uniqueId val="{0000000A-A233-4814-8F04-1EED0FFB0B40}"/>
            </c:ext>
          </c:extLst>
        </c:ser>
        <c:ser>
          <c:idx val="4"/>
          <c:order val="6"/>
          <c:spPr>
            <a:ln w="19050" cap="rnd">
              <a:solidFill>
                <a:schemeClr val="tx1"/>
              </a:solidFill>
              <a:round/>
            </a:ln>
            <a:effectLst/>
          </c:spPr>
          <c:marker>
            <c:symbol val="none"/>
          </c:marker>
          <c:xVal>
            <c:numRef>
              <c:f>Analysis!$W$129:$W$151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Analysis!$AB$129:$AB$151</c:f>
              <c:numCache>
                <c:formatCode>0.00</c:formatCode>
                <c:ptCount val="23"/>
                <c:pt idx="1">
                  <c:v>0.91415750578102106</c:v>
                </c:pt>
                <c:pt idx="2">
                  <c:v>0.820842922619335</c:v>
                </c:pt>
                <c:pt idx="3">
                  <c:v>0.75741487106725425</c:v>
                </c:pt>
                <c:pt idx="4">
                  <c:v>0.71030647163474714</c:v>
                </c:pt>
                <c:pt idx="5">
                  <c:v>0.67333247030346322</c:v>
                </c:pt>
                <c:pt idx="6">
                  <c:v>0.64319436055583479</c:v>
                </c:pt>
                <c:pt idx="7">
                  <c:v>0.61794208797503725</c:v>
                </c:pt>
                <c:pt idx="8">
                  <c:v>0.57753892014468089</c:v>
                </c:pt>
                <c:pt idx="9">
                  <c:v>0.54619865710835136</c:v>
                </c:pt>
                <c:pt idx="10">
                  <c:v>0.52086367580482684</c:v>
                </c:pt>
                <c:pt idx="11">
                  <c:v>0.49976630277892259</c:v>
                </c:pt>
                <c:pt idx="12">
                  <c:v>0.48180009258248413</c:v>
                </c:pt>
                <c:pt idx="13">
                  <c:v>0.46623040955781253</c:v>
                </c:pt>
                <c:pt idx="14">
                  <c:v>0.45254672508254562</c:v>
                </c:pt>
                <c:pt idx="15">
                  <c:v>0.44038111347336695</c:v>
                </c:pt>
                <c:pt idx="16">
                  <c:v>0.42946042796174821</c:v>
                </c:pt>
                <c:pt idx="17">
                  <c:v>0.41274614975188528</c:v>
                </c:pt>
                <c:pt idx="18">
                  <c:v>0.39842583726538838</c:v>
                </c:pt>
                <c:pt idx="19">
                  <c:v>0.38595554118771913</c:v>
                </c:pt>
                <c:pt idx="20">
                  <c:v>0.36921333193488642</c:v>
                </c:pt>
                <c:pt idx="21">
                  <c:v>0.35630332659712438</c:v>
                </c:pt>
                <c:pt idx="22">
                  <c:v>0.34507290113132394</c:v>
                </c:pt>
              </c:numCache>
            </c:numRef>
          </c:yVal>
          <c:smooth val="0"/>
          <c:extLst>
            <c:ext xmlns:c16="http://schemas.microsoft.com/office/drawing/2014/chart" uri="{C3380CC4-5D6E-409C-BE32-E72D297353CC}">
              <c16:uniqueId val="{0000000B-A233-4814-8F04-1EED0FFB0B40}"/>
            </c:ext>
          </c:extLst>
        </c:ser>
        <c:ser>
          <c:idx val="5"/>
          <c:order val="7"/>
          <c:spPr>
            <a:ln w="19050" cap="rnd">
              <a:solidFill>
                <a:schemeClr val="tx1"/>
              </a:solidFill>
              <a:round/>
            </a:ln>
            <a:effectLst/>
          </c:spPr>
          <c:marker>
            <c:symbol val="none"/>
          </c:marker>
          <c:xVal>
            <c:numRef>
              <c:f>Analysis!$W$129:$W$151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Analysis!$AC$129:$AC$151</c:f>
              <c:numCache>
                <c:formatCode>0.00</c:formatCode>
                <c:ptCount val="23"/>
                <c:pt idx="1">
                  <c:v>0.80063467826573087</c:v>
                </c:pt>
                <c:pt idx="2">
                  <c:v>0.71890818059471173</c:v>
                </c:pt>
                <c:pt idx="3">
                  <c:v>0.66335681518308542</c:v>
                </c:pt>
                <c:pt idx="4">
                  <c:v>0.62209847842520338</c:v>
                </c:pt>
                <c:pt idx="5">
                  <c:v>0.58971601974290244</c:v>
                </c:pt>
                <c:pt idx="6">
                  <c:v>0.56332055107504486</c:v>
                </c:pt>
                <c:pt idx="7">
                  <c:v>0.54120418162519601</c:v>
                </c:pt>
                <c:pt idx="8">
                  <c:v>0.50581840064958983</c:v>
                </c:pt>
                <c:pt idx="9">
                  <c:v>0.4783700657027391</c:v>
                </c:pt>
                <c:pt idx="10">
                  <c:v>0.45618125854801828</c:v>
                </c:pt>
                <c:pt idx="11">
                  <c:v>0.43770382073448122</c:v>
                </c:pt>
                <c:pt idx="12">
                  <c:v>0.42196870853629331</c:v>
                </c:pt>
                <c:pt idx="13">
                  <c:v>0.40833251556043715</c:v>
                </c:pt>
                <c:pt idx="14">
                  <c:v>0.39634811216379812</c:v>
                </c:pt>
                <c:pt idx="15">
                  <c:v>0.3856932627805959</c:v>
                </c:pt>
                <c:pt idx="16">
                  <c:v>0.37612874082924352</c:v>
                </c:pt>
                <c:pt idx="17">
                  <c:v>0.36149009193955967</c:v>
                </c:pt>
                <c:pt idx="18">
                  <c:v>0.34894811891217026</c:v>
                </c:pt>
                <c:pt idx="19">
                  <c:v>0.33802642169381936</c:v>
                </c:pt>
                <c:pt idx="20">
                  <c:v>0.3233633103220574</c:v>
                </c:pt>
                <c:pt idx="21">
                  <c:v>0.31205650826153375</c:v>
                </c:pt>
                <c:pt idx="22">
                  <c:v>0.30222071079475432</c:v>
                </c:pt>
              </c:numCache>
            </c:numRef>
          </c:yVal>
          <c:smooth val="0"/>
          <c:extLst>
            <c:ext xmlns:c16="http://schemas.microsoft.com/office/drawing/2014/chart" uri="{C3380CC4-5D6E-409C-BE32-E72D297353CC}">
              <c16:uniqueId val="{0000000C-A233-4814-8F04-1EED0FFB0B40}"/>
            </c:ext>
          </c:extLst>
        </c:ser>
        <c:dLbls>
          <c:showLegendKey val="0"/>
          <c:showVal val="0"/>
          <c:showCatName val="0"/>
          <c:showSerName val="0"/>
          <c:showPercent val="0"/>
          <c:showBubbleSize val="0"/>
        </c:dLbls>
        <c:axId val="629106480"/>
        <c:axId val="312826928"/>
      </c:scatterChart>
      <c:valAx>
        <c:axId val="629106480"/>
        <c:scaling>
          <c:orientation val="minMax"/>
          <c:max val="11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a:t>
                </a:r>
                <a:r>
                  <a:rPr lang="en-US" baseline="-25000"/>
                  <a:t>1</a:t>
                </a:r>
                <a:r>
                  <a:rPr lang="en-US"/>
                  <a:t> W/S</a:t>
                </a:r>
              </a:p>
            </c:rich>
          </c:tx>
          <c:layout>
            <c:manualLayout>
              <c:xMode val="edge"/>
              <c:yMode val="edge"/>
              <c:x val="0.46267944562316499"/>
              <c:y val="0.9366309767521149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2826928"/>
        <c:crosses val="autoZero"/>
        <c:crossBetween val="midCat"/>
      </c:valAx>
      <c:valAx>
        <c:axId val="312826928"/>
        <c:scaling>
          <c:orientation val="minMax"/>
          <c:max val="1.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n</a:t>
                </a:r>
                <a:r>
                  <a:rPr lang="en-US" baseline="-25000"/>
                  <a:t>4</a:t>
                </a:r>
                <a:r>
                  <a:rPr lang="en-US"/>
                  <a:t>/n</a:t>
                </a:r>
                <a:r>
                  <a:rPr lang="en-US" baseline="-25000"/>
                  <a:t>1</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9106480"/>
        <c:crosses val="autoZero"/>
        <c:crossBetween val="midCat"/>
        <c:majorUnit val="0.5"/>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12700">
              <a:solidFill>
                <a:schemeClr val="bg1">
                  <a:lumMod val="50000"/>
                </a:schemeClr>
              </a:solidFill>
              <a:prstDash val="dash"/>
            </a:ln>
          </c:spPr>
          <c:marker>
            <c:symbol val="none"/>
          </c:marker>
          <c:xVal>
            <c:numRef>
              <c:f>Analysis!$W$175:$W$176</c:f>
              <c:numCache>
                <c:formatCode>0.0</c:formatCode>
                <c:ptCount val="2"/>
                <c:pt idx="0" formatCode="General">
                  <c:v>0</c:v>
                </c:pt>
                <c:pt idx="1">
                  <c:v>120</c:v>
                </c:pt>
              </c:numCache>
            </c:numRef>
          </c:xVal>
          <c:yVal>
            <c:numRef>
              <c:f>Analysis!$X$175:$X$176</c:f>
              <c:numCache>
                <c:formatCode>0.00</c:formatCode>
                <c:ptCount val="2"/>
                <c:pt idx="0" formatCode="General">
                  <c:v>1</c:v>
                </c:pt>
                <c:pt idx="1">
                  <c:v>3.8</c:v>
                </c:pt>
              </c:numCache>
            </c:numRef>
          </c:yVal>
          <c:smooth val="0"/>
          <c:extLst>
            <c:ext xmlns:c16="http://schemas.microsoft.com/office/drawing/2014/chart" uri="{C3380CC4-5D6E-409C-BE32-E72D297353CC}">
              <c16:uniqueId val="{00000000-7CF2-4016-A8B7-CE44991D9C4A}"/>
            </c:ext>
          </c:extLst>
        </c:ser>
        <c:ser>
          <c:idx val="1"/>
          <c:order val="1"/>
          <c:tx>
            <c:v>A</c:v>
          </c:tx>
          <c:spPr>
            <a:ln>
              <a:noFill/>
            </a:ln>
          </c:spPr>
          <c:marker>
            <c:symbol val="circle"/>
            <c:size val="5"/>
            <c:spPr>
              <a:solidFill>
                <a:schemeClr val="tx1"/>
              </a:solidFill>
              <a:ln>
                <a:solidFill>
                  <a:schemeClr val="tx1"/>
                </a:solidFill>
              </a:ln>
            </c:spPr>
          </c:marker>
          <c:dLbls>
            <c:dLbl>
              <c:idx val="0"/>
              <c:dLblPos val="l"/>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7CF2-4016-A8B7-CE44991D9C4A}"/>
                </c:ext>
              </c:extLst>
            </c:dLbl>
            <c:spPr>
              <a:noFill/>
              <a:ln>
                <a:noFill/>
              </a:ln>
              <a:effectLst/>
            </c:spPr>
            <c:dLblPos val="l"/>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xVal>
            <c:numRef>
              <c:f>Analysis!$AT$172</c:f>
              <c:numCache>
                <c:formatCode>0.0</c:formatCode>
                <c:ptCount val="1"/>
                <c:pt idx="0">
                  <c:v>120</c:v>
                </c:pt>
              </c:numCache>
            </c:numRef>
          </c:xVal>
          <c:yVal>
            <c:numRef>
              <c:f>Analysis!$AT$173</c:f>
              <c:numCache>
                <c:formatCode>General</c:formatCode>
                <c:ptCount val="1"/>
                <c:pt idx="0">
                  <c:v>3.8</c:v>
                </c:pt>
              </c:numCache>
            </c:numRef>
          </c:yVal>
          <c:smooth val="0"/>
          <c:extLst>
            <c:ext xmlns:c16="http://schemas.microsoft.com/office/drawing/2014/chart" uri="{C3380CC4-5D6E-409C-BE32-E72D297353CC}">
              <c16:uniqueId val="{00000002-7CF2-4016-A8B7-CE44991D9C4A}"/>
            </c:ext>
          </c:extLst>
        </c:ser>
        <c:ser>
          <c:idx val="2"/>
          <c:order val="2"/>
          <c:tx>
            <c:v>C</c:v>
          </c:tx>
          <c:spPr>
            <a:ln>
              <a:noFill/>
            </a:ln>
          </c:spPr>
          <c:marker>
            <c:symbol val="circle"/>
            <c:size val="5"/>
            <c:spPr>
              <a:solidFill>
                <a:schemeClr val="tx1"/>
              </a:solidFill>
              <a:ln>
                <a:solidFill>
                  <a:schemeClr val="tx1"/>
                </a:solidFill>
              </a:ln>
            </c:spPr>
          </c:marker>
          <c:dLbls>
            <c:spPr>
              <a:noFill/>
              <a:ln>
                <a:noFill/>
              </a:ln>
              <a:effectLst/>
            </c:sp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Analysis!$AT$188</c:f>
              <c:numCache>
                <c:formatCode>0.0</c:formatCode>
                <c:ptCount val="1"/>
                <c:pt idx="0">
                  <c:v>160</c:v>
                </c:pt>
              </c:numCache>
            </c:numRef>
          </c:xVal>
          <c:yVal>
            <c:numRef>
              <c:f>Analysis!$AT$189</c:f>
              <c:numCache>
                <c:formatCode>0.00</c:formatCode>
                <c:ptCount val="1"/>
                <c:pt idx="0">
                  <c:v>4.1446586566634815</c:v>
                </c:pt>
              </c:numCache>
            </c:numRef>
          </c:yVal>
          <c:smooth val="0"/>
          <c:extLst>
            <c:ext xmlns:c16="http://schemas.microsoft.com/office/drawing/2014/chart" uri="{C3380CC4-5D6E-409C-BE32-E72D297353CC}">
              <c16:uniqueId val="{00000003-7CF2-4016-A8B7-CE44991D9C4A}"/>
            </c:ext>
          </c:extLst>
        </c:ser>
        <c:ser>
          <c:idx val="3"/>
          <c:order val="3"/>
          <c:tx>
            <c:v>D</c:v>
          </c:tx>
          <c:spPr>
            <a:ln>
              <a:noFill/>
            </a:ln>
          </c:spPr>
          <c:marker>
            <c:symbol val="circle"/>
            <c:size val="5"/>
            <c:spPr>
              <a:solidFill>
                <a:sysClr val="windowText" lastClr="000000"/>
              </a:solidFill>
              <a:ln>
                <a:solidFill>
                  <a:sysClr val="windowText" lastClr="000000"/>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Analysis!$AT$175</c:f>
              <c:numCache>
                <c:formatCode>0.0</c:formatCode>
                <c:ptCount val="1"/>
                <c:pt idx="0">
                  <c:v>190</c:v>
                </c:pt>
              </c:numCache>
            </c:numRef>
          </c:xVal>
          <c:yVal>
            <c:numRef>
              <c:f>Analysis!$AT$176</c:f>
              <c:numCache>
                <c:formatCode>0.00</c:formatCode>
                <c:ptCount val="1"/>
                <c:pt idx="0">
                  <c:v>3.8</c:v>
                </c:pt>
              </c:numCache>
            </c:numRef>
          </c:yVal>
          <c:smooth val="0"/>
          <c:extLst>
            <c:ext xmlns:c16="http://schemas.microsoft.com/office/drawing/2014/chart" uri="{C3380CC4-5D6E-409C-BE32-E72D297353CC}">
              <c16:uniqueId val="{00000004-7CF2-4016-A8B7-CE44991D9C4A}"/>
            </c:ext>
          </c:extLst>
        </c:ser>
        <c:ser>
          <c:idx val="4"/>
          <c:order val="4"/>
          <c:tx>
            <c:v>F</c:v>
          </c:tx>
          <c:marker>
            <c:symbol val="circle"/>
            <c:size val="5"/>
            <c:spPr>
              <a:solidFill>
                <a:sysClr val="windowText" lastClr="000000"/>
              </a:solidFill>
              <a:ln>
                <a:solidFill>
                  <a:sysClr val="windowText" lastClr="000000"/>
                </a:solidFill>
              </a:ln>
            </c:spPr>
          </c:marker>
          <c:dLbls>
            <c:spPr>
              <a:noFill/>
              <a:ln>
                <a:noFill/>
              </a:ln>
              <a:effectLst/>
            </c:sp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Analysis!$AT$181</c:f>
              <c:numCache>
                <c:formatCode>0.0</c:formatCode>
                <c:ptCount val="1"/>
                <c:pt idx="0">
                  <c:v>160</c:v>
                </c:pt>
              </c:numCache>
            </c:numRef>
          </c:xVal>
          <c:yVal>
            <c:numRef>
              <c:f>Analysis!$AT$182</c:f>
              <c:numCache>
                <c:formatCode>0.00</c:formatCode>
                <c:ptCount val="1"/>
                <c:pt idx="0">
                  <c:v>-2.2104274274893849</c:v>
                </c:pt>
              </c:numCache>
            </c:numRef>
          </c:yVal>
          <c:smooth val="0"/>
          <c:extLst>
            <c:ext xmlns:c16="http://schemas.microsoft.com/office/drawing/2014/chart" uri="{C3380CC4-5D6E-409C-BE32-E72D297353CC}">
              <c16:uniqueId val="{00000005-7CF2-4016-A8B7-CE44991D9C4A}"/>
            </c:ext>
          </c:extLst>
        </c:ser>
        <c:ser>
          <c:idx val="5"/>
          <c:order val="5"/>
          <c:marker>
            <c:symbol val="circle"/>
            <c:size val="5"/>
            <c:spPr>
              <a:solidFill>
                <a:sysClr val="windowText" lastClr="000000"/>
              </a:solidFill>
              <a:ln>
                <a:solidFill>
                  <a:sysClr val="windowText" lastClr="000000"/>
                </a:solidFill>
              </a:ln>
            </c:spPr>
          </c:marker>
          <c:xVal>
            <c:numRef>
              <c:f>Analysis!$AT$178</c:f>
              <c:numCache>
                <c:formatCode>0.0</c:formatCode>
                <c:ptCount val="1"/>
                <c:pt idx="0">
                  <c:v>190</c:v>
                </c:pt>
              </c:numCache>
            </c:numRef>
          </c:xVal>
          <c:yVal>
            <c:numRef>
              <c:f>Analysis!$AT$179</c:f>
              <c:numCache>
                <c:formatCode>0.00</c:formatCode>
                <c:ptCount val="1"/>
                <c:pt idx="0">
                  <c:v>-1.9</c:v>
                </c:pt>
              </c:numCache>
            </c:numRef>
          </c:yVal>
          <c:smooth val="0"/>
          <c:extLst>
            <c:ext xmlns:c16="http://schemas.microsoft.com/office/drawing/2014/chart" uri="{C3380CC4-5D6E-409C-BE32-E72D297353CC}">
              <c16:uniqueId val="{00000006-7CF2-4016-A8B7-CE44991D9C4A}"/>
            </c:ext>
          </c:extLst>
        </c:ser>
        <c:ser>
          <c:idx val="6"/>
          <c:order val="6"/>
          <c:spPr>
            <a:ln w="12700">
              <a:solidFill>
                <a:schemeClr val="bg1">
                  <a:lumMod val="50000"/>
                </a:schemeClr>
              </a:solidFill>
              <a:prstDash val="dash"/>
            </a:ln>
          </c:spPr>
          <c:marker>
            <c:symbol val="none"/>
          </c:marker>
          <c:xVal>
            <c:numRef>
              <c:f>Analysis!$W$175:$W$176</c:f>
              <c:numCache>
                <c:formatCode>0.0</c:formatCode>
                <c:ptCount val="2"/>
                <c:pt idx="0" formatCode="General">
                  <c:v>0</c:v>
                </c:pt>
                <c:pt idx="1">
                  <c:v>120</c:v>
                </c:pt>
              </c:numCache>
            </c:numRef>
          </c:xVal>
          <c:yVal>
            <c:numRef>
              <c:f>Analysis!$Y$175:$Y$176</c:f>
              <c:numCache>
                <c:formatCode>0.00</c:formatCode>
                <c:ptCount val="2"/>
                <c:pt idx="0" formatCode="General">
                  <c:v>1</c:v>
                </c:pt>
                <c:pt idx="1">
                  <c:v>-1.9</c:v>
                </c:pt>
              </c:numCache>
            </c:numRef>
          </c:yVal>
          <c:smooth val="0"/>
          <c:extLst>
            <c:ext xmlns:c16="http://schemas.microsoft.com/office/drawing/2014/chart" uri="{C3380CC4-5D6E-409C-BE32-E72D297353CC}">
              <c16:uniqueId val="{00000007-7CF2-4016-A8B7-CE44991D9C4A}"/>
            </c:ext>
          </c:extLst>
        </c:ser>
        <c:ser>
          <c:idx val="7"/>
          <c:order val="7"/>
          <c:spPr>
            <a:ln w="12700">
              <a:solidFill>
                <a:schemeClr val="bg1">
                  <a:lumMod val="50000"/>
                </a:schemeClr>
              </a:solidFill>
              <a:prstDash val="dash"/>
            </a:ln>
          </c:spPr>
          <c:marker>
            <c:symbol val="none"/>
          </c:marker>
          <c:xVal>
            <c:numRef>
              <c:f>Analysis!$W$175:$W$180</c:f>
              <c:numCache>
                <c:formatCode>0.0</c:formatCode>
                <c:ptCount val="6"/>
                <c:pt idx="0" formatCode="General">
                  <c:v>0</c:v>
                </c:pt>
                <c:pt idx="1">
                  <c:v>120</c:v>
                </c:pt>
                <c:pt idx="4" formatCode="General">
                  <c:v>0</c:v>
                </c:pt>
                <c:pt idx="5">
                  <c:v>190</c:v>
                </c:pt>
              </c:numCache>
            </c:numRef>
          </c:xVal>
          <c:yVal>
            <c:numRef>
              <c:f>Analysis!$Z$175:$Z$180</c:f>
              <c:numCache>
                <c:formatCode>General</c:formatCode>
                <c:ptCount val="6"/>
                <c:pt idx="0">
                  <c:v>1</c:v>
                </c:pt>
                <c:pt idx="4">
                  <c:v>1</c:v>
                </c:pt>
                <c:pt idx="5" formatCode="0.00">
                  <c:v>3.8</c:v>
                </c:pt>
              </c:numCache>
            </c:numRef>
          </c:yVal>
          <c:smooth val="0"/>
          <c:extLst>
            <c:ext xmlns:c16="http://schemas.microsoft.com/office/drawing/2014/chart" uri="{C3380CC4-5D6E-409C-BE32-E72D297353CC}">
              <c16:uniqueId val="{00000008-7CF2-4016-A8B7-CE44991D9C4A}"/>
            </c:ext>
          </c:extLst>
        </c:ser>
        <c:ser>
          <c:idx val="8"/>
          <c:order val="8"/>
          <c:spPr>
            <a:ln w="12700">
              <a:solidFill>
                <a:schemeClr val="bg1">
                  <a:lumMod val="50000"/>
                </a:schemeClr>
              </a:solidFill>
              <a:prstDash val="dash"/>
            </a:ln>
          </c:spPr>
          <c:marker>
            <c:symbol val="none"/>
          </c:marker>
          <c:xVal>
            <c:numRef>
              <c:f>Analysis!$W$175:$W$180</c:f>
              <c:numCache>
                <c:formatCode>0.0</c:formatCode>
                <c:ptCount val="6"/>
                <c:pt idx="0" formatCode="General">
                  <c:v>0</c:v>
                </c:pt>
                <c:pt idx="1">
                  <c:v>120</c:v>
                </c:pt>
                <c:pt idx="4" formatCode="General">
                  <c:v>0</c:v>
                </c:pt>
                <c:pt idx="5">
                  <c:v>190</c:v>
                </c:pt>
              </c:numCache>
            </c:numRef>
          </c:xVal>
          <c:yVal>
            <c:numRef>
              <c:f>Analysis!$AA$175:$AA$180</c:f>
              <c:numCache>
                <c:formatCode>General</c:formatCode>
                <c:ptCount val="6"/>
                <c:pt idx="0">
                  <c:v>1</c:v>
                </c:pt>
                <c:pt idx="4">
                  <c:v>1</c:v>
                </c:pt>
                <c:pt idx="5" formatCode="0.00">
                  <c:v>-1.9</c:v>
                </c:pt>
              </c:numCache>
            </c:numRef>
          </c:yVal>
          <c:smooth val="0"/>
          <c:extLst>
            <c:ext xmlns:c16="http://schemas.microsoft.com/office/drawing/2014/chart" uri="{C3380CC4-5D6E-409C-BE32-E72D297353CC}">
              <c16:uniqueId val="{00000009-7CF2-4016-A8B7-CE44991D9C4A}"/>
            </c:ext>
          </c:extLst>
        </c:ser>
        <c:ser>
          <c:idx val="9"/>
          <c:order val="9"/>
          <c:spPr>
            <a:ln w="19050">
              <a:solidFill>
                <a:schemeClr val="tx1"/>
              </a:solidFill>
            </a:ln>
          </c:spPr>
          <c:marker>
            <c:symbol val="none"/>
          </c:marker>
          <c:xVal>
            <c:numRef>
              <c:f>Analysis!$AD$176:$AD$181</c:f>
              <c:numCache>
                <c:formatCode>0.0</c:formatCode>
                <c:ptCount val="6"/>
                <c:pt idx="0">
                  <c:v>120</c:v>
                </c:pt>
                <c:pt idx="1">
                  <c:v>160</c:v>
                </c:pt>
                <c:pt idx="2">
                  <c:v>190</c:v>
                </c:pt>
                <c:pt idx="3">
                  <c:v>190</c:v>
                </c:pt>
                <c:pt idx="4">
                  <c:v>160</c:v>
                </c:pt>
                <c:pt idx="5">
                  <c:v>120</c:v>
                </c:pt>
              </c:numCache>
            </c:numRef>
          </c:xVal>
          <c:yVal>
            <c:numRef>
              <c:f>Analysis!$AE$176:$AE$181</c:f>
              <c:numCache>
                <c:formatCode>0.00</c:formatCode>
                <c:ptCount val="6"/>
                <c:pt idx="0" formatCode="General">
                  <c:v>3.8</c:v>
                </c:pt>
                <c:pt idx="1">
                  <c:v>4.1446586566634815</c:v>
                </c:pt>
                <c:pt idx="2">
                  <c:v>3.8</c:v>
                </c:pt>
                <c:pt idx="3">
                  <c:v>-1.9</c:v>
                </c:pt>
                <c:pt idx="4">
                  <c:v>-2.2104274274893849</c:v>
                </c:pt>
                <c:pt idx="5">
                  <c:v>-1.9</c:v>
                </c:pt>
              </c:numCache>
            </c:numRef>
          </c:yVal>
          <c:smooth val="0"/>
          <c:extLst>
            <c:ext xmlns:c16="http://schemas.microsoft.com/office/drawing/2014/chart" uri="{C3380CC4-5D6E-409C-BE32-E72D297353CC}">
              <c16:uniqueId val="{0000000A-7CF2-4016-A8B7-CE44991D9C4A}"/>
            </c:ext>
          </c:extLst>
        </c:ser>
        <c:ser>
          <c:idx val="10"/>
          <c:order val="10"/>
          <c:marker>
            <c:symbol val="circle"/>
            <c:size val="5"/>
            <c:spPr>
              <a:solidFill>
                <a:sysClr val="windowText" lastClr="000000"/>
              </a:solidFill>
              <a:ln>
                <a:solidFill>
                  <a:prstClr val="white">
                    <a:lumMod val="50000"/>
                  </a:prstClr>
                </a:solidFill>
              </a:ln>
            </c:spPr>
          </c:marker>
          <c:xVal>
            <c:numRef>
              <c:f>Analysis!$AT$184</c:f>
              <c:numCache>
                <c:formatCode>0.0</c:formatCode>
                <c:ptCount val="1"/>
                <c:pt idx="0">
                  <c:v>120</c:v>
                </c:pt>
              </c:numCache>
            </c:numRef>
          </c:xVal>
          <c:yVal>
            <c:numRef>
              <c:f>Analysis!$AT$185</c:f>
              <c:numCache>
                <c:formatCode>General</c:formatCode>
                <c:ptCount val="1"/>
                <c:pt idx="0">
                  <c:v>-1.9</c:v>
                </c:pt>
              </c:numCache>
            </c:numRef>
          </c:yVal>
          <c:smooth val="0"/>
          <c:extLst>
            <c:ext xmlns:c16="http://schemas.microsoft.com/office/drawing/2014/chart" uri="{C3380CC4-5D6E-409C-BE32-E72D297353CC}">
              <c16:uniqueId val="{0000000B-7CF2-4016-A8B7-CE44991D9C4A}"/>
            </c:ext>
          </c:extLst>
        </c:ser>
        <c:ser>
          <c:idx val="11"/>
          <c:order val="11"/>
          <c:tx>
            <c:v>G</c:v>
          </c:tx>
          <c:spPr>
            <a:ln w="19050">
              <a:solidFill>
                <a:schemeClr val="tx1"/>
              </a:solidFill>
            </a:ln>
          </c:spPr>
          <c:marker>
            <c:symbol val="none"/>
          </c:marker>
          <c:dLbls>
            <c:dLbl>
              <c:idx val="0"/>
              <c:dLblPos val="l"/>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7CF2-4016-A8B7-CE44991D9C4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Analysis!$AJ$171:$AJ$187</c:f>
              <c:numCache>
                <c:formatCode>General</c:formatCode>
                <c:ptCount val="17"/>
                <c:pt idx="0" formatCode="0.0">
                  <c:v>120</c:v>
                </c:pt>
                <c:pt idx="1">
                  <c:v>114.41551070947108</c:v>
                </c:pt>
                <c:pt idx="2">
                  <c:v>104.4465935734187</c:v>
                </c:pt>
                <c:pt idx="3">
                  <c:v>91.605722482868885</c:v>
                </c:pt>
                <c:pt idx="4">
                  <c:v>77.420966113876361</c:v>
                </c:pt>
                <c:pt idx="5">
                  <c:v>63.213954124101384</c:v>
                </c:pt>
                <c:pt idx="6">
                  <c:v>49.975018734388655</c:v>
                </c:pt>
                <c:pt idx="7">
                  <c:v>47.649310760087197</c:v>
                </c:pt>
                <c:pt idx="8">
                  <c:v>35.515699313522376</c:v>
                </c:pt>
                <c:pt idx="9">
                  <c:v>25.765796358008931</c:v>
                </c:pt>
                <c:pt idx="10">
                  <c:v>18.219169327419767</c:v>
                </c:pt>
                <c:pt idx="11">
                  <c:v>12.882898179004465</c:v>
                </c:pt>
                <c:pt idx="12">
                  <c:v>9.1095846637098834</c:v>
                </c:pt>
                <c:pt idx="13">
                  <c:v>6.4414490895022327</c:v>
                </c:pt>
                <c:pt idx="14">
                  <c:v>4.5547923318549417</c:v>
                </c:pt>
                <c:pt idx="15">
                  <c:v>3.2207245447511164</c:v>
                </c:pt>
              </c:numCache>
            </c:numRef>
          </c:xVal>
          <c:yVal>
            <c:numRef>
              <c:f>Analysis!$AL$171:$AL$187</c:f>
              <c:numCache>
                <c:formatCode>General</c:formatCode>
                <c:ptCount val="17"/>
                <c:pt idx="0">
                  <c:v>-1.9</c:v>
                </c:pt>
                <c:pt idx="1">
                  <c:v>-1.7272727272727271</c:v>
                </c:pt>
                <c:pt idx="2">
                  <c:v>-1.4393939393939392</c:v>
                </c:pt>
                <c:pt idx="3">
                  <c:v>-1.1072261072261071</c:v>
                </c:pt>
                <c:pt idx="4">
                  <c:v>-0.79087579087579085</c:v>
                </c:pt>
                <c:pt idx="5">
                  <c:v>-0.52725052725052723</c:v>
                </c:pt>
                <c:pt idx="6">
                  <c:v>-0.32953157953157952</c:v>
                </c:pt>
                <c:pt idx="7">
                  <c:v>-0.29957416321052682</c:v>
                </c:pt>
                <c:pt idx="8">
                  <c:v>-0.16643009067251491</c:v>
                </c:pt>
                <c:pt idx="9">
                  <c:v>-8.759478456448154E-2</c:v>
                </c:pt>
                <c:pt idx="10">
                  <c:v>-4.379739228224077E-2</c:v>
                </c:pt>
                <c:pt idx="11">
                  <c:v>-2.1898696141120385E-2</c:v>
                </c:pt>
                <c:pt idx="12">
                  <c:v>-1.0949348070560192E-2</c:v>
                </c:pt>
                <c:pt idx="13">
                  <c:v>-5.4746740352800962E-3</c:v>
                </c:pt>
                <c:pt idx="14">
                  <c:v>-2.7373370176400481E-3</c:v>
                </c:pt>
                <c:pt idx="15">
                  <c:v>-1.3686685088200241E-3</c:v>
                </c:pt>
                <c:pt idx="16">
                  <c:v>0</c:v>
                </c:pt>
              </c:numCache>
            </c:numRef>
          </c:yVal>
          <c:smooth val="0"/>
          <c:extLst>
            <c:ext xmlns:c16="http://schemas.microsoft.com/office/drawing/2014/chart" uri="{C3380CC4-5D6E-409C-BE32-E72D297353CC}">
              <c16:uniqueId val="{0000000D-7CF2-4016-A8B7-CE44991D9C4A}"/>
            </c:ext>
          </c:extLst>
        </c:ser>
        <c:ser>
          <c:idx val="12"/>
          <c:order val="12"/>
          <c:spPr>
            <a:ln w="19050">
              <a:solidFill>
                <a:schemeClr val="tx1"/>
              </a:solidFill>
            </a:ln>
          </c:spPr>
          <c:marker>
            <c:symbol val="none"/>
          </c:marker>
          <c:xVal>
            <c:numRef>
              <c:f>Analysis!$AN$171:$AN$187</c:f>
              <c:numCache>
                <c:formatCode>General</c:formatCode>
                <c:ptCount val="17"/>
                <c:pt idx="0" formatCode="0.0">
                  <c:v>120</c:v>
                </c:pt>
                <c:pt idx="1">
                  <c:v>114.41551070947108</c:v>
                </c:pt>
                <c:pt idx="2">
                  <c:v>104.4465935734187</c:v>
                </c:pt>
                <c:pt idx="3">
                  <c:v>91.605722482868885</c:v>
                </c:pt>
                <c:pt idx="4">
                  <c:v>77.420966113876389</c:v>
                </c:pt>
                <c:pt idx="5">
                  <c:v>63.213954124101392</c:v>
                </c:pt>
                <c:pt idx="6">
                  <c:v>49.975018734388655</c:v>
                </c:pt>
                <c:pt idx="7">
                  <c:v>47.649310760087197</c:v>
                </c:pt>
                <c:pt idx="8">
                  <c:v>35.515699313522383</c:v>
                </c:pt>
                <c:pt idx="9">
                  <c:v>25.765796358008934</c:v>
                </c:pt>
                <c:pt idx="10">
                  <c:v>18.219169327419767</c:v>
                </c:pt>
                <c:pt idx="11">
                  <c:v>12.882898179004467</c:v>
                </c:pt>
                <c:pt idx="12">
                  <c:v>9.1095846637098834</c:v>
                </c:pt>
                <c:pt idx="13">
                  <c:v>6.4414490895022336</c:v>
                </c:pt>
                <c:pt idx="14">
                  <c:v>4.5547923318549417</c:v>
                </c:pt>
                <c:pt idx="15">
                  <c:v>3.2207245447511168</c:v>
                </c:pt>
                <c:pt idx="16">
                  <c:v>0</c:v>
                </c:pt>
              </c:numCache>
            </c:numRef>
          </c:xVal>
          <c:yVal>
            <c:numRef>
              <c:f>Analysis!$AO$171:$AO$187</c:f>
              <c:numCache>
                <c:formatCode>General</c:formatCode>
                <c:ptCount val="17"/>
                <c:pt idx="0">
                  <c:v>3.8</c:v>
                </c:pt>
                <c:pt idx="1">
                  <c:v>3.4545454545454541</c:v>
                </c:pt>
                <c:pt idx="2">
                  <c:v>2.8787878787878785</c:v>
                </c:pt>
                <c:pt idx="3">
                  <c:v>2.2144522144522143</c:v>
                </c:pt>
                <c:pt idx="4">
                  <c:v>1.5817515817515817</c:v>
                </c:pt>
                <c:pt idx="5">
                  <c:v>1.0545010545010545</c:v>
                </c:pt>
                <c:pt idx="6">
                  <c:v>0.65906315906315904</c:v>
                </c:pt>
                <c:pt idx="7">
                  <c:v>0.59914832642105365</c:v>
                </c:pt>
                <c:pt idx="8">
                  <c:v>0.33286018134502982</c:v>
                </c:pt>
                <c:pt idx="9">
                  <c:v>0.17518956912896308</c:v>
                </c:pt>
                <c:pt idx="10">
                  <c:v>8.759478456448154E-2</c:v>
                </c:pt>
                <c:pt idx="11">
                  <c:v>4.379739228224077E-2</c:v>
                </c:pt>
                <c:pt idx="12">
                  <c:v>2.1898696141120385E-2</c:v>
                </c:pt>
                <c:pt idx="13">
                  <c:v>1.0949348070560192E-2</c:v>
                </c:pt>
                <c:pt idx="14">
                  <c:v>5.4746740352800962E-3</c:v>
                </c:pt>
                <c:pt idx="15">
                  <c:v>2.7373370176400481E-3</c:v>
                </c:pt>
                <c:pt idx="16">
                  <c:v>0</c:v>
                </c:pt>
              </c:numCache>
            </c:numRef>
          </c:yVal>
          <c:smooth val="0"/>
          <c:extLst>
            <c:ext xmlns:c16="http://schemas.microsoft.com/office/drawing/2014/chart" uri="{C3380CC4-5D6E-409C-BE32-E72D297353CC}">
              <c16:uniqueId val="{0000000E-7CF2-4016-A8B7-CE44991D9C4A}"/>
            </c:ext>
          </c:extLst>
        </c:ser>
        <c:ser>
          <c:idx val="13"/>
          <c:order val="13"/>
          <c:spPr>
            <a:ln w="15875">
              <a:solidFill>
                <a:schemeClr val="tx1"/>
              </a:solidFill>
              <a:prstDash val="lgDashDot"/>
            </a:ln>
          </c:spPr>
          <c:marker>
            <c:symbol val="none"/>
          </c:marker>
          <c:xVal>
            <c:numRef>
              <c:f>Analysis!$AG$177:$AG$192</c:f>
              <c:numCache>
                <c:formatCode>0.0</c:formatCode>
                <c:ptCount val="16"/>
                <c:pt idx="0">
                  <c:v>120</c:v>
                </c:pt>
                <c:pt idx="1">
                  <c:v>190</c:v>
                </c:pt>
                <c:pt idx="3">
                  <c:v>120</c:v>
                </c:pt>
                <c:pt idx="4">
                  <c:v>190</c:v>
                </c:pt>
                <c:pt idx="6">
                  <c:v>120</c:v>
                </c:pt>
                <c:pt idx="7">
                  <c:v>120</c:v>
                </c:pt>
                <c:pt idx="9">
                  <c:v>160</c:v>
                </c:pt>
                <c:pt idx="10">
                  <c:v>160</c:v>
                </c:pt>
              </c:numCache>
            </c:numRef>
          </c:xVal>
          <c:yVal>
            <c:numRef>
              <c:f>Analysis!$AH$177:$AH$192</c:f>
              <c:numCache>
                <c:formatCode>0.00</c:formatCode>
                <c:ptCount val="16"/>
                <c:pt idx="0">
                  <c:v>3.8</c:v>
                </c:pt>
                <c:pt idx="1">
                  <c:v>3.8</c:v>
                </c:pt>
                <c:pt idx="3">
                  <c:v>-1.9</c:v>
                </c:pt>
                <c:pt idx="4">
                  <c:v>-1.9</c:v>
                </c:pt>
                <c:pt idx="6" formatCode="General">
                  <c:v>4.18</c:v>
                </c:pt>
                <c:pt idx="7" formatCode="General">
                  <c:v>-2.09</c:v>
                </c:pt>
                <c:pt idx="9" formatCode="General">
                  <c:v>4.5591245223298298</c:v>
                </c:pt>
                <c:pt idx="10" formatCode="General">
                  <c:v>-2.4314701702383235</c:v>
                </c:pt>
              </c:numCache>
            </c:numRef>
          </c:yVal>
          <c:smooth val="0"/>
          <c:extLst>
            <c:ext xmlns:c16="http://schemas.microsoft.com/office/drawing/2014/chart" uri="{C3380CC4-5D6E-409C-BE32-E72D297353CC}">
              <c16:uniqueId val="{00000010-7CF2-4016-A8B7-CE44991D9C4A}"/>
            </c:ext>
          </c:extLst>
        </c:ser>
        <c:dLbls>
          <c:showLegendKey val="0"/>
          <c:showVal val="0"/>
          <c:showCatName val="0"/>
          <c:showSerName val="0"/>
          <c:showPercent val="0"/>
          <c:showBubbleSize val="0"/>
        </c:dLbls>
        <c:axId val="509399560"/>
        <c:axId val="509399952"/>
      </c:scatterChart>
      <c:valAx>
        <c:axId val="509399560"/>
        <c:scaling>
          <c:orientation val="minMax"/>
        </c:scaling>
        <c:delete val="0"/>
        <c:axPos val="b"/>
        <c:title>
          <c:tx>
            <c:rich>
              <a:bodyPr/>
              <a:lstStyle/>
              <a:p>
                <a:pPr>
                  <a:defRPr/>
                </a:pPr>
                <a:r>
                  <a:rPr lang="en-US"/>
                  <a:t>V - Equivalent Airspeed (knots)</a:t>
                </a:r>
              </a:p>
            </c:rich>
          </c:tx>
          <c:overlay val="0"/>
        </c:title>
        <c:numFmt formatCode="General" sourceLinked="1"/>
        <c:majorTickMark val="out"/>
        <c:minorTickMark val="none"/>
        <c:tickLblPos val="nextTo"/>
        <c:crossAx val="509399952"/>
        <c:crosses val="autoZero"/>
        <c:crossBetween val="midCat"/>
      </c:valAx>
      <c:valAx>
        <c:axId val="509399952"/>
        <c:scaling>
          <c:orientation val="minMax"/>
          <c:max val="7"/>
        </c:scaling>
        <c:delete val="0"/>
        <c:axPos val="l"/>
        <c:majorGridlines/>
        <c:title>
          <c:tx>
            <c:rich>
              <a:bodyPr rot="-5400000" vert="horz"/>
              <a:lstStyle/>
              <a:p>
                <a:pPr>
                  <a:defRPr/>
                </a:pPr>
                <a:r>
                  <a:rPr lang="en-US"/>
                  <a:t>n - Load Factor</a:t>
                </a:r>
              </a:p>
            </c:rich>
          </c:tx>
          <c:overlay val="0"/>
        </c:title>
        <c:numFmt formatCode="General" sourceLinked="1"/>
        <c:majorTickMark val="out"/>
        <c:minorTickMark val="none"/>
        <c:tickLblPos val="nextTo"/>
        <c:crossAx val="509399560"/>
        <c:crosses val="autoZero"/>
        <c:crossBetween val="midCat"/>
      </c:valAx>
    </c:plotArea>
    <c:plotVisOnly val="1"/>
    <c:dispBlanksAs val="gap"/>
    <c:showDLblsOverMax val="0"/>
  </c:chart>
  <c:spPr>
    <a:ln>
      <a:noFill/>
    </a:ln>
  </c:spPr>
  <c:txPr>
    <a:bodyPr/>
    <a:lstStyle/>
    <a:p>
      <a:pPr>
        <a:defRPr>
          <a:latin typeface="Arial" pitchFamily="34" charset="0"/>
          <a:cs typeface="Arial" pitchFamily="34" charset="0"/>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12700">
              <a:solidFill>
                <a:schemeClr val="bg1">
                  <a:lumMod val="50000"/>
                </a:schemeClr>
              </a:solidFill>
              <a:prstDash val="dash"/>
            </a:ln>
          </c:spPr>
          <c:marker>
            <c:symbol val="none"/>
          </c:marker>
          <c:xVal>
            <c:numRef>
              <c:f>Analysis!$W$198:$W$199</c:f>
              <c:numCache>
                <c:formatCode>0.0</c:formatCode>
                <c:ptCount val="2"/>
                <c:pt idx="0" formatCode="General">
                  <c:v>0</c:v>
                </c:pt>
                <c:pt idx="1">
                  <c:v>120</c:v>
                </c:pt>
              </c:numCache>
            </c:numRef>
          </c:xVal>
          <c:yVal>
            <c:numRef>
              <c:f>Analysis!$X$198:$X$199</c:f>
              <c:numCache>
                <c:formatCode>0.00</c:formatCode>
                <c:ptCount val="2"/>
                <c:pt idx="0" formatCode="General">
                  <c:v>1</c:v>
                </c:pt>
                <c:pt idx="1">
                  <c:v>3.8</c:v>
                </c:pt>
              </c:numCache>
            </c:numRef>
          </c:yVal>
          <c:smooth val="0"/>
          <c:extLst>
            <c:ext xmlns:c16="http://schemas.microsoft.com/office/drawing/2014/chart" uri="{C3380CC4-5D6E-409C-BE32-E72D297353CC}">
              <c16:uniqueId val="{00000000-556D-43FC-9462-40EB90B6A13F}"/>
            </c:ext>
          </c:extLst>
        </c:ser>
        <c:ser>
          <c:idx val="1"/>
          <c:order val="1"/>
          <c:tx>
            <c:v>A</c:v>
          </c:tx>
          <c:spPr>
            <a:ln>
              <a:noFill/>
            </a:ln>
          </c:spPr>
          <c:marker>
            <c:symbol val="circle"/>
            <c:size val="5"/>
            <c:spPr>
              <a:solidFill>
                <a:schemeClr val="tx1"/>
              </a:solidFill>
              <a:ln>
                <a:solidFill>
                  <a:schemeClr val="tx1"/>
                </a:solidFill>
              </a:ln>
            </c:spPr>
          </c:marker>
          <c:dLbls>
            <c:dLbl>
              <c:idx val="0"/>
              <c:dLblPos val="l"/>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556D-43FC-9462-40EB90B6A13F}"/>
                </c:ext>
              </c:extLst>
            </c:dLbl>
            <c:spPr>
              <a:noFill/>
              <a:ln>
                <a:noFill/>
              </a:ln>
              <a:effectLst/>
            </c:spPr>
            <c:dLblPos val="l"/>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xVal>
            <c:numRef>
              <c:f>Analysis!$AT$195</c:f>
              <c:numCache>
                <c:formatCode>0.0</c:formatCode>
                <c:ptCount val="1"/>
                <c:pt idx="0">
                  <c:v>120</c:v>
                </c:pt>
              </c:numCache>
            </c:numRef>
          </c:xVal>
          <c:yVal>
            <c:numRef>
              <c:f>Analysis!$AT$196</c:f>
              <c:numCache>
                <c:formatCode>General</c:formatCode>
                <c:ptCount val="1"/>
                <c:pt idx="0">
                  <c:v>3.8</c:v>
                </c:pt>
              </c:numCache>
            </c:numRef>
          </c:yVal>
          <c:smooth val="0"/>
          <c:extLst>
            <c:ext xmlns:c16="http://schemas.microsoft.com/office/drawing/2014/chart" uri="{C3380CC4-5D6E-409C-BE32-E72D297353CC}">
              <c16:uniqueId val="{00000002-556D-43FC-9462-40EB90B6A13F}"/>
            </c:ext>
          </c:extLst>
        </c:ser>
        <c:ser>
          <c:idx val="2"/>
          <c:order val="2"/>
          <c:tx>
            <c:v>C</c:v>
          </c:tx>
          <c:spPr>
            <a:ln>
              <a:noFill/>
            </a:ln>
          </c:spPr>
          <c:marker>
            <c:symbol val="circle"/>
            <c:size val="5"/>
            <c:spPr>
              <a:solidFill>
                <a:schemeClr val="tx1"/>
              </a:solidFill>
              <a:ln>
                <a:solidFill>
                  <a:schemeClr val="tx1"/>
                </a:solidFill>
              </a:ln>
            </c:spPr>
          </c:marker>
          <c:dLbls>
            <c:spPr>
              <a:noFill/>
              <a:ln>
                <a:noFill/>
              </a:ln>
              <a:effectLst/>
            </c:sp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Analysis!$AT$211</c:f>
              <c:numCache>
                <c:formatCode>0.0</c:formatCode>
                <c:ptCount val="1"/>
                <c:pt idx="0">
                  <c:v>160</c:v>
                </c:pt>
              </c:numCache>
            </c:numRef>
          </c:xVal>
          <c:yVal>
            <c:numRef>
              <c:f>Analysis!$AT$212</c:f>
              <c:numCache>
                <c:formatCode>0.00</c:formatCode>
                <c:ptCount val="1"/>
                <c:pt idx="0">
                  <c:v>4.4925653815640638</c:v>
                </c:pt>
              </c:numCache>
            </c:numRef>
          </c:yVal>
          <c:smooth val="0"/>
          <c:extLst>
            <c:ext xmlns:c16="http://schemas.microsoft.com/office/drawing/2014/chart" uri="{C3380CC4-5D6E-409C-BE32-E72D297353CC}">
              <c16:uniqueId val="{00000003-556D-43FC-9462-40EB90B6A13F}"/>
            </c:ext>
          </c:extLst>
        </c:ser>
        <c:ser>
          <c:idx val="3"/>
          <c:order val="3"/>
          <c:tx>
            <c:v>D</c:v>
          </c:tx>
          <c:spPr>
            <a:ln>
              <a:noFill/>
            </a:ln>
          </c:spPr>
          <c:marker>
            <c:symbol val="circle"/>
            <c:size val="5"/>
            <c:spPr>
              <a:solidFill>
                <a:sysClr val="windowText" lastClr="000000"/>
              </a:solidFill>
              <a:ln>
                <a:solidFill>
                  <a:sysClr val="windowText" lastClr="000000"/>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Analysis!$AT$198</c:f>
              <c:numCache>
                <c:formatCode>0.0</c:formatCode>
                <c:ptCount val="1"/>
                <c:pt idx="0">
                  <c:v>190</c:v>
                </c:pt>
              </c:numCache>
            </c:numRef>
          </c:xVal>
          <c:yVal>
            <c:numRef>
              <c:f>Analysis!$AT$199</c:f>
              <c:numCache>
                <c:formatCode>0.00</c:formatCode>
                <c:ptCount val="1"/>
                <c:pt idx="0">
                  <c:v>3.8</c:v>
                </c:pt>
              </c:numCache>
            </c:numRef>
          </c:yVal>
          <c:smooth val="0"/>
          <c:extLst>
            <c:ext xmlns:c16="http://schemas.microsoft.com/office/drawing/2014/chart" uri="{C3380CC4-5D6E-409C-BE32-E72D297353CC}">
              <c16:uniqueId val="{00000004-556D-43FC-9462-40EB90B6A13F}"/>
            </c:ext>
          </c:extLst>
        </c:ser>
        <c:ser>
          <c:idx val="4"/>
          <c:order val="4"/>
          <c:tx>
            <c:v>F</c:v>
          </c:tx>
          <c:marker>
            <c:symbol val="circle"/>
            <c:size val="5"/>
            <c:spPr>
              <a:solidFill>
                <a:sysClr val="windowText" lastClr="000000"/>
              </a:solidFill>
              <a:ln>
                <a:solidFill>
                  <a:sysClr val="windowText" lastClr="000000"/>
                </a:solidFill>
              </a:ln>
            </c:spPr>
          </c:marker>
          <c:dLbls>
            <c:spPr>
              <a:noFill/>
              <a:ln>
                <a:noFill/>
              </a:ln>
              <a:effectLst/>
            </c:sp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Analysis!$AT$204</c:f>
              <c:numCache>
                <c:formatCode>0.0</c:formatCode>
                <c:ptCount val="1"/>
                <c:pt idx="0">
                  <c:v>160</c:v>
                </c:pt>
              </c:numCache>
            </c:numRef>
          </c:xVal>
          <c:yVal>
            <c:numRef>
              <c:f>Analysis!$AT$205</c:f>
              <c:numCache>
                <c:formatCode>0.00</c:formatCode>
                <c:ptCount val="1"/>
                <c:pt idx="0">
                  <c:v>-2.5007680302464017</c:v>
                </c:pt>
              </c:numCache>
            </c:numRef>
          </c:yVal>
          <c:smooth val="0"/>
          <c:extLst>
            <c:ext xmlns:c16="http://schemas.microsoft.com/office/drawing/2014/chart" uri="{C3380CC4-5D6E-409C-BE32-E72D297353CC}">
              <c16:uniqueId val="{00000005-556D-43FC-9462-40EB90B6A13F}"/>
            </c:ext>
          </c:extLst>
        </c:ser>
        <c:ser>
          <c:idx val="5"/>
          <c:order val="5"/>
          <c:marker>
            <c:symbol val="circle"/>
            <c:size val="5"/>
            <c:spPr>
              <a:solidFill>
                <a:sysClr val="windowText" lastClr="000000"/>
              </a:solidFill>
              <a:ln>
                <a:solidFill>
                  <a:sysClr val="windowText" lastClr="000000"/>
                </a:solidFill>
              </a:ln>
            </c:spPr>
          </c:marker>
          <c:xVal>
            <c:numRef>
              <c:f>Analysis!$AT$201</c:f>
              <c:numCache>
                <c:formatCode>0.0</c:formatCode>
                <c:ptCount val="1"/>
                <c:pt idx="0">
                  <c:v>190</c:v>
                </c:pt>
              </c:numCache>
            </c:numRef>
          </c:xVal>
          <c:yVal>
            <c:numRef>
              <c:f>Analysis!$AT$202</c:f>
              <c:numCache>
                <c:formatCode>0.00</c:formatCode>
                <c:ptCount val="1"/>
                <c:pt idx="0">
                  <c:v>-1.9</c:v>
                </c:pt>
              </c:numCache>
            </c:numRef>
          </c:yVal>
          <c:smooth val="0"/>
          <c:extLst>
            <c:ext xmlns:c16="http://schemas.microsoft.com/office/drawing/2014/chart" uri="{C3380CC4-5D6E-409C-BE32-E72D297353CC}">
              <c16:uniqueId val="{00000006-556D-43FC-9462-40EB90B6A13F}"/>
            </c:ext>
          </c:extLst>
        </c:ser>
        <c:ser>
          <c:idx val="6"/>
          <c:order val="6"/>
          <c:spPr>
            <a:ln w="12700">
              <a:solidFill>
                <a:schemeClr val="bg1">
                  <a:lumMod val="50000"/>
                </a:schemeClr>
              </a:solidFill>
              <a:prstDash val="dash"/>
            </a:ln>
          </c:spPr>
          <c:marker>
            <c:symbol val="none"/>
          </c:marker>
          <c:xVal>
            <c:numRef>
              <c:f>Analysis!$W$198:$W$199</c:f>
              <c:numCache>
                <c:formatCode>0.0</c:formatCode>
                <c:ptCount val="2"/>
                <c:pt idx="0" formatCode="General">
                  <c:v>0</c:v>
                </c:pt>
                <c:pt idx="1">
                  <c:v>120</c:v>
                </c:pt>
              </c:numCache>
            </c:numRef>
          </c:xVal>
          <c:yVal>
            <c:numRef>
              <c:f>Analysis!$Y$198:$Y$199</c:f>
              <c:numCache>
                <c:formatCode>0.00</c:formatCode>
                <c:ptCount val="2"/>
                <c:pt idx="0" formatCode="General">
                  <c:v>1</c:v>
                </c:pt>
                <c:pt idx="1">
                  <c:v>-1.9</c:v>
                </c:pt>
              </c:numCache>
            </c:numRef>
          </c:yVal>
          <c:smooth val="0"/>
          <c:extLst>
            <c:ext xmlns:c16="http://schemas.microsoft.com/office/drawing/2014/chart" uri="{C3380CC4-5D6E-409C-BE32-E72D297353CC}">
              <c16:uniqueId val="{00000007-556D-43FC-9462-40EB90B6A13F}"/>
            </c:ext>
          </c:extLst>
        </c:ser>
        <c:ser>
          <c:idx val="7"/>
          <c:order val="7"/>
          <c:spPr>
            <a:ln w="12700">
              <a:solidFill>
                <a:schemeClr val="bg1">
                  <a:lumMod val="50000"/>
                </a:schemeClr>
              </a:solidFill>
              <a:prstDash val="dash"/>
            </a:ln>
          </c:spPr>
          <c:marker>
            <c:symbol val="none"/>
          </c:marker>
          <c:xVal>
            <c:numRef>
              <c:f>Analysis!$W$198:$W$203</c:f>
              <c:numCache>
                <c:formatCode>0.0</c:formatCode>
                <c:ptCount val="6"/>
                <c:pt idx="0" formatCode="General">
                  <c:v>0</c:v>
                </c:pt>
                <c:pt idx="1">
                  <c:v>120</c:v>
                </c:pt>
                <c:pt idx="4" formatCode="General">
                  <c:v>0</c:v>
                </c:pt>
                <c:pt idx="5">
                  <c:v>190</c:v>
                </c:pt>
              </c:numCache>
            </c:numRef>
          </c:xVal>
          <c:yVal>
            <c:numRef>
              <c:f>Analysis!$Z$198:$Z$203</c:f>
              <c:numCache>
                <c:formatCode>General</c:formatCode>
                <c:ptCount val="6"/>
                <c:pt idx="0">
                  <c:v>1</c:v>
                </c:pt>
                <c:pt idx="4">
                  <c:v>1</c:v>
                </c:pt>
                <c:pt idx="5" formatCode="0.00">
                  <c:v>3.8</c:v>
                </c:pt>
              </c:numCache>
            </c:numRef>
          </c:yVal>
          <c:smooth val="0"/>
          <c:extLst>
            <c:ext xmlns:c16="http://schemas.microsoft.com/office/drawing/2014/chart" uri="{C3380CC4-5D6E-409C-BE32-E72D297353CC}">
              <c16:uniqueId val="{00000008-556D-43FC-9462-40EB90B6A13F}"/>
            </c:ext>
          </c:extLst>
        </c:ser>
        <c:ser>
          <c:idx val="8"/>
          <c:order val="8"/>
          <c:spPr>
            <a:ln w="12700">
              <a:solidFill>
                <a:schemeClr val="bg1">
                  <a:lumMod val="50000"/>
                </a:schemeClr>
              </a:solidFill>
              <a:prstDash val="dash"/>
            </a:ln>
          </c:spPr>
          <c:marker>
            <c:symbol val="none"/>
          </c:marker>
          <c:xVal>
            <c:numRef>
              <c:f>Analysis!$W$198:$W$203</c:f>
              <c:numCache>
                <c:formatCode>0.0</c:formatCode>
                <c:ptCount val="6"/>
                <c:pt idx="0" formatCode="General">
                  <c:v>0</c:v>
                </c:pt>
                <c:pt idx="1">
                  <c:v>120</c:v>
                </c:pt>
                <c:pt idx="4" formatCode="General">
                  <c:v>0</c:v>
                </c:pt>
                <c:pt idx="5">
                  <c:v>190</c:v>
                </c:pt>
              </c:numCache>
            </c:numRef>
          </c:xVal>
          <c:yVal>
            <c:numRef>
              <c:f>Analysis!$AA$198:$AA$203</c:f>
              <c:numCache>
                <c:formatCode>General</c:formatCode>
                <c:ptCount val="6"/>
                <c:pt idx="0">
                  <c:v>1</c:v>
                </c:pt>
                <c:pt idx="4">
                  <c:v>1</c:v>
                </c:pt>
                <c:pt idx="5" formatCode="0.00">
                  <c:v>-1.9</c:v>
                </c:pt>
              </c:numCache>
            </c:numRef>
          </c:yVal>
          <c:smooth val="0"/>
          <c:extLst>
            <c:ext xmlns:c16="http://schemas.microsoft.com/office/drawing/2014/chart" uri="{C3380CC4-5D6E-409C-BE32-E72D297353CC}">
              <c16:uniqueId val="{00000009-556D-43FC-9462-40EB90B6A13F}"/>
            </c:ext>
          </c:extLst>
        </c:ser>
        <c:ser>
          <c:idx val="9"/>
          <c:order val="9"/>
          <c:spPr>
            <a:ln w="19050">
              <a:solidFill>
                <a:schemeClr val="tx1"/>
              </a:solidFill>
            </a:ln>
          </c:spPr>
          <c:marker>
            <c:symbol val="none"/>
          </c:marker>
          <c:xVal>
            <c:numRef>
              <c:f>Analysis!$AD$199:$AD$204</c:f>
              <c:numCache>
                <c:formatCode>0.0</c:formatCode>
                <c:ptCount val="6"/>
                <c:pt idx="0">
                  <c:v>120</c:v>
                </c:pt>
                <c:pt idx="1">
                  <c:v>160</c:v>
                </c:pt>
                <c:pt idx="2">
                  <c:v>190</c:v>
                </c:pt>
                <c:pt idx="3">
                  <c:v>190</c:v>
                </c:pt>
                <c:pt idx="4">
                  <c:v>160</c:v>
                </c:pt>
                <c:pt idx="5">
                  <c:v>120</c:v>
                </c:pt>
              </c:numCache>
            </c:numRef>
          </c:xVal>
          <c:yVal>
            <c:numRef>
              <c:f>Analysis!$AE$199:$AE$204</c:f>
              <c:numCache>
                <c:formatCode>0.00</c:formatCode>
                <c:ptCount val="6"/>
                <c:pt idx="0" formatCode="General">
                  <c:v>3.8</c:v>
                </c:pt>
                <c:pt idx="1">
                  <c:v>4.4925653815640638</c:v>
                </c:pt>
                <c:pt idx="2">
                  <c:v>3.8</c:v>
                </c:pt>
                <c:pt idx="3">
                  <c:v>-1.9</c:v>
                </c:pt>
                <c:pt idx="4">
                  <c:v>-2.5007680302464017</c:v>
                </c:pt>
                <c:pt idx="5">
                  <c:v>-1.9</c:v>
                </c:pt>
              </c:numCache>
            </c:numRef>
          </c:yVal>
          <c:smooth val="0"/>
          <c:extLst>
            <c:ext xmlns:c16="http://schemas.microsoft.com/office/drawing/2014/chart" uri="{C3380CC4-5D6E-409C-BE32-E72D297353CC}">
              <c16:uniqueId val="{0000000A-556D-43FC-9462-40EB90B6A13F}"/>
            </c:ext>
          </c:extLst>
        </c:ser>
        <c:ser>
          <c:idx val="10"/>
          <c:order val="10"/>
          <c:marker>
            <c:symbol val="circle"/>
            <c:size val="5"/>
            <c:spPr>
              <a:solidFill>
                <a:sysClr val="windowText" lastClr="000000"/>
              </a:solidFill>
              <a:ln>
                <a:solidFill>
                  <a:prstClr val="white">
                    <a:lumMod val="50000"/>
                  </a:prstClr>
                </a:solidFill>
              </a:ln>
            </c:spPr>
          </c:marker>
          <c:xVal>
            <c:numRef>
              <c:f>Analysis!$AT$207</c:f>
              <c:numCache>
                <c:formatCode>0.0</c:formatCode>
                <c:ptCount val="1"/>
                <c:pt idx="0">
                  <c:v>120</c:v>
                </c:pt>
              </c:numCache>
            </c:numRef>
          </c:xVal>
          <c:yVal>
            <c:numRef>
              <c:f>Analysis!$AT$208</c:f>
              <c:numCache>
                <c:formatCode>0.00</c:formatCode>
                <c:ptCount val="1"/>
                <c:pt idx="0">
                  <c:v>-1.9</c:v>
                </c:pt>
              </c:numCache>
            </c:numRef>
          </c:yVal>
          <c:smooth val="0"/>
          <c:extLst>
            <c:ext xmlns:c16="http://schemas.microsoft.com/office/drawing/2014/chart" uri="{C3380CC4-5D6E-409C-BE32-E72D297353CC}">
              <c16:uniqueId val="{0000000B-556D-43FC-9462-40EB90B6A13F}"/>
            </c:ext>
          </c:extLst>
        </c:ser>
        <c:ser>
          <c:idx val="11"/>
          <c:order val="11"/>
          <c:tx>
            <c:v>G</c:v>
          </c:tx>
          <c:spPr>
            <a:ln w="19050">
              <a:solidFill>
                <a:schemeClr val="tx1"/>
              </a:solidFill>
            </a:ln>
          </c:spPr>
          <c:marker>
            <c:symbol val="none"/>
          </c:marker>
          <c:dLbls>
            <c:dLbl>
              <c:idx val="0"/>
              <c:dLblPos val="l"/>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556D-43FC-9462-40EB90B6A13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Analysis!$AJ$194:$AJ$210</c:f>
              <c:numCache>
                <c:formatCode>General</c:formatCode>
                <c:ptCount val="17"/>
                <c:pt idx="0" formatCode="0.0">
                  <c:v>120</c:v>
                </c:pt>
                <c:pt idx="1">
                  <c:v>114.41551070947108</c:v>
                </c:pt>
                <c:pt idx="2">
                  <c:v>104.4465935734187</c:v>
                </c:pt>
                <c:pt idx="3">
                  <c:v>91.605722482868885</c:v>
                </c:pt>
                <c:pt idx="4">
                  <c:v>77.420966113876361</c:v>
                </c:pt>
                <c:pt idx="5">
                  <c:v>63.213954124101384</c:v>
                </c:pt>
                <c:pt idx="6">
                  <c:v>49.975018734388655</c:v>
                </c:pt>
                <c:pt idx="7">
                  <c:v>47.649310760087197</c:v>
                </c:pt>
                <c:pt idx="8">
                  <c:v>35.515699313522376</c:v>
                </c:pt>
                <c:pt idx="9">
                  <c:v>25.765796358008931</c:v>
                </c:pt>
                <c:pt idx="10">
                  <c:v>18.219169327419767</c:v>
                </c:pt>
                <c:pt idx="11">
                  <c:v>12.882898179004465</c:v>
                </c:pt>
                <c:pt idx="12">
                  <c:v>9.1095846637098834</c:v>
                </c:pt>
                <c:pt idx="13">
                  <c:v>6.4414490895022327</c:v>
                </c:pt>
                <c:pt idx="14">
                  <c:v>4.5547923318549417</c:v>
                </c:pt>
                <c:pt idx="15">
                  <c:v>3.2207245447511164</c:v>
                </c:pt>
              </c:numCache>
            </c:numRef>
          </c:xVal>
          <c:yVal>
            <c:numRef>
              <c:f>Analysis!$AL$194:$AL$210</c:f>
              <c:numCache>
                <c:formatCode>General</c:formatCode>
                <c:ptCount val="17"/>
                <c:pt idx="0">
                  <c:v>-1.9</c:v>
                </c:pt>
                <c:pt idx="1">
                  <c:v>-1.7272727272727271</c:v>
                </c:pt>
                <c:pt idx="2">
                  <c:v>-1.4393939393939392</c:v>
                </c:pt>
                <c:pt idx="3">
                  <c:v>-1.1072261072261071</c:v>
                </c:pt>
                <c:pt idx="4">
                  <c:v>-0.79087579087579085</c:v>
                </c:pt>
                <c:pt idx="5">
                  <c:v>-0.52725052725052723</c:v>
                </c:pt>
                <c:pt idx="6">
                  <c:v>-0.32953157953157952</c:v>
                </c:pt>
                <c:pt idx="7">
                  <c:v>-0.29957416321052682</c:v>
                </c:pt>
                <c:pt idx="8">
                  <c:v>-0.16643009067251491</c:v>
                </c:pt>
                <c:pt idx="9">
                  <c:v>-8.759478456448154E-2</c:v>
                </c:pt>
                <c:pt idx="10">
                  <c:v>-4.379739228224077E-2</c:v>
                </c:pt>
                <c:pt idx="11">
                  <c:v>-2.1898696141120385E-2</c:v>
                </c:pt>
                <c:pt idx="12">
                  <c:v>-1.0949348070560192E-2</c:v>
                </c:pt>
                <c:pt idx="13">
                  <c:v>-5.4746740352800962E-3</c:v>
                </c:pt>
                <c:pt idx="14">
                  <c:v>-2.7373370176400481E-3</c:v>
                </c:pt>
                <c:pt idx="15">
                  <c:v>-1.3686685088200241E-3</c:v>
                </c:pt>
                <c:pt idx="16">
                  <c:v>0</c:v>
                </c:pt>
              </c:numCache>
            </c:numRef>
          </c:yVal>
          <c:smooth val="0"/>
          <c:extLst>
            <c:ext xmlns:c16="http://schemas.microsoft.com/office/drawing/2014/chart" uri="{C3380CC4-5D6E-409C-BE32-E72D297353CC}">
              <c16:uniqueId val="{0000000D-556D-43FC-9462-40EB90B6A13F}"/>
            </c:ext>
          </c:extLst>
        </c:ser>
        <c:ser>
          <c:idx val="12"/>
          <c:order val="12"/>
          <c:spPr>
            <a:ln w="19050">
              <a:solidFill>
                <a:schemeClr val="tx1"/>
              </a:solidFill>
            </a:ln>
          </c:spPr>
          <c:marker>
            <c:symbol val="none"/>
          </c:marker>
          <c:xVal>
            <c:numRef>
              <c:f>Analysis!$AN$194:$AN$210</c:f>
              <c:numCache>
                <c:formatCode>General</c:formatCode>
                <c:ptCount val="17"/>
                <c:pt idx="0" formatCode="0.0">
                  <c:v>120</c:v>
                </c:pt>
                <c:pt idx="1">
                  <c:v>114.41551070947108</c:v>
                </c:pt>
                <c:pt idx="2">
                  <c:v>104.4465935734187</c:v>
                </c:pt>
                <c:pt idx="3">
                  <c:v>91.605722482868885</c:v>
                </c:pt>
                <c:pt idx="4">
                  <c:v>77.420966113876389</c:v>
                </c:pt>
                <c:pt idx="5">
                  <c:v>63.213954124101392</c:v>
                </c:pt>
                <c:pt idx="6">
                  <c:v>49.975018734388655</c:v>
                </c:pt>
                <c:pt idx="7">
                  <c:v>47.649310760087197</c:v>
                </c:pt>
                <c:pt idx="8">
                  <c:v>35.515699313522383</c:v>
                </c:pt>
                <c:pt idx="9">
                  <c:v>25.765796358008934</c:v>
                </c:pt>
                <c:pt idx="10">
                  <c:v>18.219169327419767</c:v>
                </c:pt>
                <c:pt idx="11">
                  <c:v>12.882898179004467</c:v>
                </c:pt>
                <c:pt idx="12">
                  <c:v>9.1095846637098834</c:v>
                </c:pt>
                <c:pt idx="13">
                  <c:v>6.4414490895022336</c:v>
                </c:pt>
                <c:pt idx="14">
                  <c:v>4.5547923318549417</c:v>
                </c:pt>
                <c:pt idx="15">
                  <c:v>3.2207245447511168</c:v>
                </c:pt>
                <c:pt idx="16">
                  <c:v>0</c:v>
                </c:pt>
              </c:numCache>
            </c:numRef>
          </c:xVal>
          <c:yVal>
            <c:numRef>
              <c:f>Analysis!$AO$194:$AO$210</c:f>
              <c:numCache>
                <c:formatCode>General</c:formatCode>
                <c:ptCount val="17"/>
                <c:pt idx="0">
                  <c:v>3.8</c:v>
                </c:pt>
                <c:pt idx="1">
                  <c:v>3.4545454545454541</c:v>
                </c:pt>
                <c:pt idx="2">
                  <c:v>2.8787878787878785</c:v>
                </c:pt>
                <c:pt idx="3">
                  <c:v>2.2144522144522143</c:v>
                </c:pt>
                <c:pt idx="4">
                  <c:v>1.5817515817515817</c:v>
                </c:pt>
                <c:pt idx="5">
                  <c:v>1.0545010545010545</c:v>
                </c:pt>
                <c:pt idx="6">
                  <c:v>0.65906315906315904</c:v>
                </c:pt>
                <c:pt idx="7">
                  <c:v>0.59914832642105365</c:v>
                </c:pt>
                <c:pt idx="8">
                  <c:v>0.33286018134502982</c:v>
                </c:pt>
                <c:pt idx="9">
                  <c:v>0.17518956912896308</c:v>
                </c:pt>
                <c:pt idx="10">
                  <c:v>8.759478456448154E-2</c:v>
                </c:pt>
                <c:pt idx="11">
                  <c:v>4.379739228224077E-2</c:v>
                </c:pt>
                <c:pt idx="12">
                  <c:v>2.1898696141120385E-2</c:v>
                </c:pt>
                <c:pt idx="13">
                  <c:v>1.0949348070560192E-2</c:v>
                </c:pt>
                <c:pt idx="14">
                  <c:v>5.4746740352800962E-3</c:v>
                </c:pt>
                <c:pt idx="15">
                  <c:v>2.7373370176400481E-3</c:v>
                </c:pt>
                <c:pt idx="16">
                  <c:v>0</c:v>
                </c:pt>
              </c:numCache>
            </c:numRef>
          </c:yVal>
          <c:smooth val="0"/>
          <c:extLst>
            <c:ext xmlns:c16="http://schemas.microsoft.com/office/drawing/2014/chart" uri="{C3380CC4-5D6E-409C-BE32-E72D297353CC}">
              <c16:uniqueId val="{0000000E-556D-43FC-9462-40EB90B6A13F}"/>
            </c:ext>
          </c:extLst>
        </c:ser>
        <c:ser>
          <c:idx val="13"/>
          <c:order val="13"/>
          <c:spPr>
            <a:ln w="15875">
              <a:solidFill>
                <a:schemeClr val="tx1"/>
              </a:solidFill>
              <a:prstDash val="lgDashDot"/>
            </a:ln>
          </c:spPr>
          <c:marker>
            <c:symbol val="none"/>
          </c:marker>
          <c:xVal>
            <c:numRef>
              <c:f>Analysis!$AG$200:$AG$210</c:f>
              <c:numCache>
                <c:formatCode>0.0</c:formatCode>
                <c:ptCount val="11"/>
                <c:pt idx="0">
                  <c:v>120</c:v>
                </c:pt>
                <c:pt idx="1">
                  <c:v>190</c:v>
                </c:pt>
                <c:pt idx="3">
                  <c:v>120</c:v>
                </c:pt>
                <c:pt idx="4">
                  <c:v>190</c:v>
                </c:pt>
                <c:pt idx="6">
                  <c:v>120</c:v>
                </c:pt>
                <c:pt idx="7">
                  <c:v>120</c:v>
                </c:pt>
                <c:pt idx="9">
                  <c:v>160</c:v>
                </c:pt>
                <c:pt idx="10">
                  <c:v>160</c:v>
                </c:pt>
              </c:numCache>
            </c:numRef>
          </c:xVal>
          <c:yVal>
            <c:numRef>
              <c:f>Analysis!$AH$200:$AH$210</c:f>
              <c:numCache>
                <c:formatCode>0.00</c:formatCode>
                <c:ptCount val="11"/>
                <c:pt idx="0">
                  <c:v>3.8</c:v>
                </c:pt>
                <c:pt idx="1">
                  <c:v>3.8</c:v>
                </c:pt>
                <c:pt idx="3">
                  <c:v>-1.9</c:v>
                </c:pt>
                <c:pt idx="4">
                  <c:v>-1.9</c:v>
                </c:pt>
                <c:pt idx="6" formatCode="General">
                  <c:v>4.18</c:v>
                </c:pt>
                <c:pt idx="7" formatCode="General">
                  <c:v>-2.09</c:v>
                </c:pt>
                <c:pt idx="9" formatCode="General">
                  <c:v>4.9418219197204705</c:v>
                </c:pt>
                <c:pt idx="10" formatCode="General">
                  <c:v>-2.7508448332710422</c:v>
                </c:pt>
              </c:numCache>
            </c:numRef>
          </c:yVal>
          <c:smooth val="0"/>
          <c:extLst>
            <c:ext xmlns:c16="http://schemas.microsoft.com/office/drawing/2014/chart" uri="{C3380CC4-5D6E-409C-BE32-E72D297353CC}">
              <c16:uniqueId val="{0000000F-556D-43FC-9462-40EB90B6A13F}"/>
            </c:ext>
          </c:extLst>
        </c:ser>
        <c:dLbls>
          <c:showLegendKey val="0"/>
          <c:showVal val="0"/>
          <c:showCatName val="0"/>
          <c:showSerName val="0"/>
          <c:showPercent val="0"/>
          <c:showBubbleSize val="0"/>
        </c:dLbls>
        <c:axId val="509399560"/>
        <c:axId val="509399952"/>
      </c:scatterChart>
      <c:valAx>
        <c:axId val="509399560"/>
        <c:scaling>
          <c:orientation val="minMax"/>
        </c:scaling>
        <c:delete val="0"/>
        <c:axPos val="b"/>
        <c:title>
          <c:tx>
            <c:rich>
              <a:bodyPr/>
              <a:lstStyle/>
              <a:p>
                <a:pPr>
                  <a:defRPr/>
                </a:pPr>
                <a:r>
                  <a:rPr lang="en-US"/>
                  <a:t>V - Equivalent Airspeed (knots)</a:t>
                </a:r>
              </a:p>
            </c:rich>
          </c:tx>
          <c:overlay val="0"/>
        </c:title>
        <c:numFmt formatCode="General" sourceLinked="1"/>
        <c:majorTickMark val="out"/>
        <c:minorTickMark val="none"/>
        <c:tickLblPos val="nextTo"/>
        <c:crossAx val="509399952"/>
        <c:crosses val="autoZero"/>
        <c:crossBetween val="midCat"/>
      </c:valAx>
      <c:valAx>
        <c:axId val="509399952"/>
        <c:scaling>
          <c:orientation val="minMax"/>
          <c:max val="7"/>
          <c:min val="-3"/>
        </c:scaling>
        <c:delete val="0"/>
        <c:axPos val="l"/>
        <c:majorGridlines/>
        <c:title>
          <c:tx>
            <c:rich>
              <a:bodyPr rot="-5400000" vert="horz"/>
              <a:lstStyle/>
              <a:p>
                <a:pPr>
                  <a:defRPr/>
                </a:pPr>
                <a:r>
                  <a:rPr lang="en-US"/>
                  <a:t>n - Load Factor</a:t>
                </a:r>
              </a:p>
            </c:rich>
          </c:tx>
          <c:overlay val="0"/>
        </c:title>
        <c:numFmt formatCode="General" sourceLinked="1"/>
        <c:majorTickMark val="out"/>
        <c:minorTickMark val="none"/>
        <c:tickLblPos val="nextTo"/>
        <c:crossAx val="509399560"/>
        <c:crosses val="autoZero"/>
        <c:crossBetween val="midCat"/>
      </c:valAx>
    </c:plotArea>
    <c:plotVisOnly val="1"/>
    <c:dispBlanksAs val="gap"/>
    <c:showDLblsOverMax val="0"/>
  </c:chart>
  <c:spPr>
    <a:ln>
      <a:noFill/>
    </a:ln>
  </c:spPr>
  <c:txPr>
    <a:bodyPr/>
    <a:lstStyle/>
    <a:p>
      <a:pPr>
        <a:defRPr>
          <a:latin typeface="Arial" pitchFamily="34" charset="0"/>
          <a:cs typeface="Arial" pitchFamily="34" charset="0"/>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13161978822615E-2"/>
          <c:y val="4.4770044770044773E-2"/>
          <c:w val="0.86843269753111951"/>
          <c:h val="0.82125368169671653"/>
        </c:manualLayout>
      </c:layout>
      <c:scatterChart>
        <c:scatterStyle val="lineMarker"/>
        <c:varyColors val="0"/>
        <c:ser>
          <c:idx val="7"/>
          <c:order val="0"/>
          <c:spPr>
            <a:ln w="22225" cap="rnd">
              <a:solidFill>
                <a:srgbClr val="FF0000"/>
              </a:solidFill>
              <a:round/>
            </a:ln>
            <a:effectLst/>
          </c:spPr>
          <c:marker>
            <c:symbol val="none"/>
          </c:marker>
          <c:xVal>
            <c:numRef>
              <c:f>Analysis!$AB$231:$AB$237</c:f>
              <c:numCache>
                <c:formatCode>0.0</c:formatCode>
                <c:ptCount val="7"/>
                <c:pt idx="0">
                  <c:v>48.223350253807105</c:v>
                </c:pt>
                <c:pt idx="1">
                  <c:v>48.223350253807105</c:v>
                </c:pt>
                <c:pt idx="2" formatCode="General">
                  <c:v>0</c:v>
                </c:pt>
                <c:pt idx="4">
                  <c:v>48.223350253807105</c:v>
                </c:pt>
                <c:pt idx="5">
                  <c:v>48.223350253807105</c:v>
                </c:pt>
                <c:pt idx="6" formatCode="General">
                  <c:v>0</c:v>
                </c:pt>
              </c:numCache>
            </c:numRef>
          </c:xVal>
          <c:yVal>
            <c:numRef>
              <c:f>Analysis!$AC$231:$AC$237</c:f>
              <c:numCache>
                <c:formatCode>General</c:formatCode>
                <c:ptCount val="7"/>
                <c:pt idx="0">
                  <c:v>0</c:v>
                </c:pt>
                <c:pt idx="1">
                  <c:v>25.751269035532996</c:v>
                </c:pt>
                <c:pt idx="2">
                  <c:v>25.751269035532996</c:v>
                </c:pt>
                <c:pt idx="4">
                  <c:v>0</c:v>
                </c:pt>
                <c:pt idx="5">
                  <c:v>30.551269035532997</c:v>
                </c:pt>
                <c:pt idx="6">
                  <c:v>30.551269035532997</c:v>
                </c:pt>
              </c:numCache>
            </c:numRef>
          </c:yVal>
          <c:smooth val="0"/>
          <c:extLst>
            <c:ext xmlns:c16="http://schemas.microsoft.com/office/drawing/2014/chart" uri="{C3380CC4-5D6E-409C-BE32-E72D297353CC}">
              <c16:uniqueId val="{00000002-36B3-438F-98FE-1634F886FB73}"/>
            </c:ext>
          </c:extLst>
        </c:ser>
        <c:ser>
          <c:idx val="4"/>
          <c:order val="1"/>
          <c:spPr>
            <a:ln w="19050" cap="rnd">
              <a:solidFill>
                <a:schemeClr val="tx1"/>
              </a:solidFill>
              <a:round/>
            </a:ln>
            <a:effectLst/>
          </c:spPr>
          <c:marker>
            <c:symbol val="none"/>
          </c:marker>
          <c:xVal>
            <c:numRef>
              <c:f>Analysis!$X$227:$X$251</c:f>
              <c:numCache>
                <c:formatCode>0.0</c:formatCode>
                <c:ptCount val="25"/>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43</c:v>
                </c:pt>
                <c:pt idx="15">
                  <c:v>45</c:v>
                </c:pt>
                <c:pt idx="16">
                  <c:v>47</c:v>
                </c:pt>
                <c:pt idx="17">
                  <c:v>49</c:v>
                </c:pt>
                <c:pt idx="18">
                  <c:v>59</c:v>
                </c:pt>
                <c:pt idx="19">
                  <c:v>69</c:v>
                </c:pt>
                <c:pt idx="20">
                  <c:v>79</c:v>
                </c:pt>
                <c:pt idx="21">
                  <c:v>89</c:v>
                </c:pt>
                <c:pt idx="22">
                  <c:v>99</c:v>
                </c:pt>
                <c:pt idx="23">
                  <c:v>109</c:v>
                </c:pt>
                <c:pt idx="24">
                  <c:v>120</c:v>
                </c:pt>
              </c:numCache>
            </c:numRef>
          </c:xVal>
          <c:yVal>
            <c:numRef>
              <c:f>Analysis!$Z$227:$Z$251</c:f>
              <c:numCache>
                <c:formatCode>General</c:formatCode>
                <c:ptCount val="25"/>
                <c:pt idx="3">
                  <c:v>9.6059999999999999</c:v>
                </c:pt>
                <c:pt idx="4">
                  <c:v>10.673999999999999</c:v>
                </c:pt>
                <c:pt idx="5">
                  <c:v>11.742000000000001</c:v>
                </c:pt>
                <c:pt idx="6">
                  <c:v>12.809999999999999</c:v>
                </c:pt>
                <c:pt idx="7">
                  <c:v>13.878</c:v>
                </c:pt>
                <c:pt idx="8">
                  <c:v>16.013999999999999</c:v>
                </c:pt>
                <c:pt idx="9">
                  <c:v>18.150000000000002</c:v>
                </c:pt>
                <c:pt idx="10">
                  <c:v>20.286000000000001</c:v>
                </c:pt>
                <c:pt idx="11">
                  <c:v>22.422000000000001</c:v>
                </c:pt>
                <c:pt idx="12">
                  <c:v>24.558000000000003</c:v>
                </c:pt>
                <c:pt idx="13">
                  <c:v>26.694000000000003</c:v>
                </c:pt>
                <c:pt idx="14">
                  <c:v>27.762</c:v>
                </c:pt>
                <c:pt idx="15">
                  <c:v>28.830000000000002</c:v>
                </c:pt>
                <c:pt idx="16">
                  <c:v>29.898000000000003</c:v>
                </c:pt>
                <c:pt idx="17">
                  <c:v>30.966000000000001</c:v>
                </c:pt>
                <c:pt idx="18">
                  <c:v>36.305999999999997</c:v>
                </c:pt>
                <c:pt idx="19">
                  <c:v>41.646000000000001</c:v>
                </c:pt>
                <c:pt idx="20">
                  <c:v>46.985999999999997</c:v>
                </c:pt>
                <c:pt idx="21">
                  <c:v>52.326000000000001</c:v>
                </c:pt>
                <c:pt idx="22">
                  <c:v>57.665999999999997</c:v>
                </c:pt>
                <c:pt idx="23">
                  <c:v>63.006</c:v>
                </c:pt>
                <c:pt idx="24">
                  <c:v>68.88</c:v>
                </c:pt>
              </c:numCache>
            </c:numRef>
          </c:yVal>
          <c:smooth val="0"/>
          <c:extLst>
            <c:ext xmlns:c16="http://schemas.microsoft.com/office/drawing/2014/chart" uri="{C3380CC4-5D6E-409C-BE32-E72D297353CC}">
              <c16:uniqueId val="{00000006-36B3-438F-98FE-1634F886FB73}"/>
            </c:ext>
          </c:extLst>
        </c:ser>
        <c:ser>
          <c:idx val="5"/>
          <c:order val="2"/>
          <c:spPr>
            <a:ln w="19050" cap="rnd">
              <a:solidFill>
                <a:schemeClr val="tx1"/>
              </a:solidFill>
              <a:round/>
            </a:ln>
            <a:effectLst/>
          </c:spPr>
          <c:marker>
            <c:symbol val="none"/>
          </c:marker>
          <c:xVal>
            <c:numRef>
              <c:f>Analysis!$X$227:$X$251</c:f>
              <c:numCache>
                <c:formatCode>0.0</c:formatCode>
                <c:ptCount val="25"/>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43</c:v>
                </c:pt>
                <c:pt idx="15">
                  <c:v>45</c:v>
                </c:pt>
                <c:pt idx="16">
                  <c:v>47</c:v>
                </c:pt>
                <c:pt idx="17">
                  <c:v>49</c:v>
                </c:pt>
                <c:pt idx="18">
                  <c:v>59</c:v>
                </c:pt>
                <c:pt idx="19">
                  <c:v>69</c:v>
                </c:pt>
                <c:pt idx="20">
                  <c:v>79</c:v>
                </c:pt>
                <c:pt idx="21">
                  <c:v>89</c:v>
                </c:pt>
                <c:pt idx="22">
                  <c:v>99</c:v>
                </c:pt>
                <c:pt idx="23">
                  <c:v>109</c:v>
                </c:pt>
                <c:pt idx="24">
                  <c:v>120</c:v>
                </c:pt>
              </c:numCache>
            </c:numRef>
          </c:xVal>
          <c:yVal>
            <c:numRef>
              <c:f>Analysis!$Y$227:$Y$251</c:f>
              <c:numCache>
                <c:formatCode>General</c:formatCode>
                <c:ptCount val="25"/>
                <c:pt idx="3">
                  <c:v>10.98</c:v>
                </c:pt>
                <c:pt idx="4">
                  <c:v>12.138846732700763</c:v>
                </c:pt>
                <c:pt idx="5">
                  <c:v>13.196317668198201</c:v>
                </c:pt>
                <c:pt idx="6">
                  <c:v>14.175119047119146</c:v>
                </c:pt>
                <c:pt idx="7">
                  <c:v>15.090566589760638</c:v>
                </c:pt>
                <c:pt idx="8">
                  <c:v>16.772227043538376</c:v>
                </c:pt>
                <c:pt idx="9">
                  <c:v>18.3</c:v>
                </c:pt>
                <c:pt idx="10">
                  <c:v>19.709703194112283</c:v>
                </c:pt>
                <c:pt idx="11">
                  <c:v>21.025099286329187</c:v>
                </c:pt>
                <c:pt idx="12">
                  <c:v>22.262910860891484</c:v>
                </c:pt>
                <c:pt idx="13">
                  <c:v>23.435434709004227</c:v>
                </c:pt>
                <c:pt idx="14">
                  <c:v>24.000224998945324</c:v>
                </c:pt>
                <c:pt idx="15">
                  <c:v>24.552026392947692</c:v>
                </c:pt>
                <c:pt idx="16">
                  <c:v>25.098000000000003</c:v>
                </c:pt>
                <c:pt idx="17">
                  <c:v>26.166</c:v>
                </c:pt>
                <c:pt idx="18">
                  <c:v>31.506</c:v>
                </c:pt>
                <c:pt idx="19">
                  <c:v>36.846000000000004</c:v>
                </c:pt>
                <c:pt idx="20">
                  <c:v>42.186</c:v>
                </c:pt>
                <c:pt idx="21">
                  <c:v>47.526000000000003</c:v>
                </c:pt>
                <c:pt idx="22">
                  <c:v>52.866</c:v>
                </c:pt>
                <c:pt idx="23">
                  <c:v>58.206000000000003</c:v>
                </c:pt>
                <c:pt idx="24">
                  <c:v>64.08</c:v>
                </c:pt>
              </c:numCache>
            </c:numRef>
          </c:yVal>
          <c:smooth val="0"/>
          <c:extLst>
            <c:ext xmlns:c16="http://schemas.microsoft.com/office/drawing/2014/chart" uri="{C3380CC4-5D6E-409C-BE32-E72D297353CC}">
              <c16:uniqueId val="{00000007-36B3-438F-98FE-1634F886FB73}"/>
            </c:ext>
          </c:extLst>
        </c:ser>
        <c:dLbls>
          <c:showLegendKey val="0"/>
          <c:showVal val="0"/>
          <c:showCatName val="0"/>
          <c:showSerName val="0"/>
          <c:showPercent val="0"/>
          <c:showBubbleSize val="0"/>
        </c:dLbls>
        <c:axId val="629106480"/>
        <c:axId val="312826928"/>
      </c:scatterChart>
      <c:valAx>
        <c:axId val="629106480"/>
        <c:scaling>
          <c:orientation val="minMax"/>
          <c:max val="12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a:t>
                </a:r>
                <a:r>
                  <a:rPr lang="en-US" baseline="-25000"/>
                  <a:t>1</a:t>
                </a:r>
                <a:r>
                  <a:rPr lang="en-US"/>
                  <a:t> W/S</a:t>
                </a:r>
              </a:p>
            </c:rich>
          </c:tx>
          <c:layout>
            <c:manualLayout>
              <c:xMode val="edge"/>
              <c:yMode val="edge"/>
              <c:x val="0.46267944562316499"/>
              <c:y val="0.9366309767521149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2826928"/>
        <c:crosses val="autoZero"/>
        <c:crossBetween val="midCat"/>
      </c:valAx>
      <c:valAx>
        <c:axId val="312826928"/>
        <c:scaling>
          <c:orientation val="minMax"/>
          <c:max val="7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n</a:t>
                </a:r>
                <a:r>
                  <a:rPr lang="en-US" baseline="-25000"/>
                  <a:t>4</a:t>
                </a:r>
                <a:r>
                  <a:rPr lang="en-US"/>
                  <a:t>/n</a:t>
                </a:r>
                <a:r>
                  <a:rPr lang="en-US" baseline="-25000"/>
                  <a:t>1</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9106480"/>
        <c:crosses val="autoZero"/>
        <c:crossBetween val="midCat"/>
        <c:majorUnit val="10"/>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13161978822615E-2"/>
          <c:y val="4.4770044770044773E-2"/>
          <c:w val="0.86843269753111951"/>
          <c:h val="0.82125368169671653"/>
        </c:manualLayout>
      </c:layout>
      <c:scatterChart>
        <c:scatterStyle val="lineMarker"/>
        <c:varyColors val="0"/>
        <c:ser>
          <c:idx val="7"/>
          <c:order val="0"/>
          <c:spPr>
            <a:ln w="22225" cap="rnd">
              <a:solidFill>
                <a:srgbClr val="FF0000"/>
              </a:solidFill>
              <a:round/>
            </a:ln>
            <a:effectLst/>
          </c:spPr>
          <c:marker>
            <c:symbol val="none"/>
          </c:marker>
          <c:xVal>
            <c:numRef>
              <c:f>Analysis!$AB$288:$AB$298</c:f>
              <c:numCache>
                <c:formatCode>0.0</c:formatCode>
                <c:ptCount val="11"/>
                <c:pt idx="0">
                  <c:v>48.223350253807105</c:v>
                </c:pt>
                <c:pt idx="1">
                  <c:v>48.223350253807105</c:v>
                </c:pt>
                <c:pt idx="2" formatCode="General">
                  <c:v>0</c:v>
                </c:pt>
                <c:pt idx="4">
                  <c:v>48.223350253807105</c:v>
                </c:pt>
                <c:pt idx="5">
                  <c:v>48.223350253807105</c:v>
                </c:pt>
                <c:pt idx="6" formatCode="General">
                  <c:v>0</c:v>
                </c:pt>
                <c:pt idx="8">
                  <c:v>48.223350253807105</c:v>
                </c:pt>
                <c:pt idx="9">
                  <c:v>48.223350253807105</c:v>
                </c:pt>
                <c:pt idx="10" formatCode="General">
                  <c:v>0</c:v>
                </c:pt>
              </c:numCache>
            </c:numRef>
          </c:xVal>
          <c:yVal>
            <c:numRef>
              <c:f>Analysis!$AC$288:$AC$298</c:f>
              <c:numCache>
                <c:formatCode>General</c:formatCode>
                <c:ptCount val="11"/>
                <c:pt idx="0">
                  <c:v>0</c:v>
                </c:pt>
                <c:pt idx="1">
                  <c:v>37.614213197969541</c:v>
                </c:pt>
                <c:pt idx="2">
                  <c:v>37.614213197969541</c:v>
                </c:pt>
                <c:pt idx="4">
                  <c:v>0</c:v>
                </c:pt>
                <c:pt idx="5">
                  <c:v>30.862944162436548</c:v>
                </c:pt>
                <c:pt idx="6">
                  <c:v>30.862944162436548</c:v>
                </c:pt>
                <c:pt idx="8">
                  <c:v>0</c:v>
                </c:pt>
                <c:pt idx="9">
                  <c:v>22.472081218274113</c:v>
                </c:pt>
                <c:pt idx="10">
                  <c:v>22.472081218274113</c:v>
                </c:pt>
              </c:numCache>
            </c:numRef>
          </c:yVal>
          <c:smooth val="0"/>
          <c:extLst>
            <c:ext xmlns:c16="http://schemas.microsoft.com/office/drawing/2014/chart" uri="{C3380CC4-5D6E-409C-BE32-E72D297353CC}">
              <c16:uniqueId val="{00000000-BC2A-422F-B3D6-017C88086DB1}"/>
            </c:ext>
          </c:extLst>
        </c:ser>
        <c:ser>
          <c:idx val="4"/>
          <c:order val="1"/>
          <c:spPr>
            <a:ln w="19050" cap="rnd">
              <a:solidFill>
                <a:schemeClr val="tx1"/>
              </a:solidFill>
              <a:round/>
            </a:ln>
            <a:effectLst/>
          </c:spPr>
          <c:marker>
            <c:symbol val="none"/>
          </c:marker>
          <c:xVal>
            <c:numRef>
              <c:f>Analysis!$X$284:$X$308</c:f>
              <c:numCache>
                <c:formatCode>0.0</c:formatCode>
                <c:ptCount val="25"/>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43</c:v>
                </c:pt>
                <c:pt idx="15">
                  <c:v>45</c:v>
                </c:pt>
                <c:pt idx="16">
                  <c:v>47</c:v>
                </c:pt>
                <c:pt idx="17">
                  <c:v>49</c:v>
                </c:pt>
                <c:pt idx="18">
                  <c:v>59</c:v>
                </c:pt>
                <c:pt idx="19">
                  <c:v>69</c:v>
                </c:pt>
                <c:pt idx="20">
                  <c:v>79</c:v>
                </c:pt>
                <c:pt idx="21">
                  <c:v>89</c:v>
                </c:pt>
                <c:pt idx="22">
                  <c:v>99</c:v>
                </c:pt>
                <c:pt idx="23">
                  <c:v>109</c:v>
                </c:pt>
                <c:pt idx="24">
                  <c:v>120</c:v>
                </c:pt>
              </c:numCache>
            </c:numRef>
          </c:xVal>
          <c:yVal>
            <c:numRef>
              <c:f>Analysis!$Z$284:$Z$308</c:f>
              <c:numCache>
                <c:formatCode>General</c:formatCode>
                <c:ptCount val="25"/>
                <c:pt idx="0">
                  <c:v>0</c:v>
                </c:pt>
                <c:pt idx="1">
                  <c:v>3.2</c:v>
                </c:pt>
                <c:pt idx="2">
                  <c:v>4.4800000000000004</c:v>
                </c:pt>
                <c:pt idx="3">
                  <c:v>5.76</c:v>
                </c:pt>
                <c:pt idx="4">
                  <c:v>7.04</c:v>
                </c:pt>
                <c:pt idx="5">
                  <c:v>8.32</c:v>
                </c:pt>
                <c:pt idx="6">
                  <c:v>9.6</c:v>
                </c:pt>
                <c:pt idx="7">
                  <c:v>10.88</c:v>
                </c:pt>
                <c:pt idx="8">
                  <c:v>13.44</c:v>
                </c:pt>
                <c:pt idx="9">
                  <c:v>16</c:v>
                </c:pt>
                <c:pt idx="10">
                  <c:v>18.559999999999999</c:v>
                </c:pt>
                <c:pt idx="11">
                  <c:v>21.12</c:v>
                </c:pt>
                <c:pt idx="12">
                  <c:v>23.68</c:v>
                </c:pt>
                <c:pt idx="13">
                  <c:v>26.240000000000002</c:v>
                </c:pt>
                <c:pt idx="14">
                  <c:v>27.52</c:v>
                </c:pt>
                <c:pt idx="15">
                  <c:v>28.8</c:v>
                </c:pt>
                <c:pt idx="16">
                  <c:v>30.080000000000002</c:v>
                </c:pt>
                <c:pt idx="17">
                  <c:v>31.36</c:v>
                </c:pt>
                <c:pt idx="18">
                  <c:v>37.76</c:v>
                </c:pt>
                <c:pt idx="19">
                  <c:v>44.160000000000004</c:v>
                </c:pt>
                <c:pt idx="20">
                  <c:v>50.56</c:v>
                </c:pt>
                <c:pt idx="21">
                  <c:v>56.96</c:v>
                </c:pt>
                <c:pt idx="22">
                  <c:v>63.36</c:v>
                </c:pt>
                <c:pt idx="23">
                  <c:v>69.760000000000005</c:v>
                </c:pt>
                <c:pt idx="24">
                  <c:v>76.8</c:v>
                </c:pt>
              </c:numCache>
            </c:numRef>
          </c:yVal>
          <c:smooth val="0"/>
          <c:extLst>
            <c:ext xmlns:c16="http://schemas.microsoft.com/office/drawing/2014/chart" uri="{C3380CC4-5D6E-409C-BE32-E72D297353CC}">
              <c16:uniqueId val="{00000001-BC2A-422F-B3D6-017C88086DB1}"/>
            </c:ext>
          </c:extLst>
        </c:ser>
        <c:ser>
          <c:idx val="5"/>
          <c:order val="2"/>
          <c:spPr>
            <a:ln w="19050" cap="rnd">
              <a:solidFill>
                <a:schemeClr val="tx1"/>
              </a:solidFill>
              <a:round/>
            </a:ln>
            <a:effectLst/>
          </c:spPr>
          <c:marker>
            <c:symbol val="none"/>
          </c:marker>
          <c:xVal>
            <c:numRef>
              <c:f>Analysis!$X$284:$X$308</c:f>
              <c:numCache>
                <c:formatCode>0.0</c:formatCode>
                <c:ptCount val="25"/>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43</c:v>
                </c:pt>
                <c:pt idx="15">
                  <c:v>45</c:v>
                </c:pt>
                <c:pt idx="16">
                  <c:v>47</c:v>
                </c:pt>
                <c:pt idx="17">
                  <c:v>49</c:v>
                </c:pt>
                <c:pt idx="18">
                  <c:v>59</c:v>
                </c:pt>
                <c:pt idx="19">
                  <c:v>69</c:v>
                </c:pt>
                <c:pt idx="20">
                  <c:v>79</c:v>
                </c:pt>
                <c:pt idx="21">
                  <c:v>89</c:v>
                </c:pt>
                <c:pt idx="22">
                  <c:v>99</c:v>
                </c:pt>
                <c:pt idx="23">
                  <c:v>109</c:v>
                </c:pt>
                <c:pt idx="24">
                  <c:v>120</c:v>
                </c:pt>
              </c:numCache>
            </c:numRef>
          </c:xVal>
          <c:yVal>
            <c:numRef>
              <c:f>Analysis!$Y$284:$Y$308</c:f>
              <c:numCache>
                <c:formatCode>General</c:formatCode>
                <c:ptCount val="25"/>
                <c:pt idx="0">
                  <c:v>0</c:v>
                </c:pt>
                <c:pt idx="1">
                  <c:v>3.9000000000000004</c:v>
                </c:pt>
                <c:pt idx="2">
                  <c:v>5.46</c:v>
                </c:pt>
                <c:pt idx="3">
                  <c:v>7.0200000000000005</c:v>
                </c:pt>
                <c:pt idx="4">
                  <c:v>8.58</c:v>
                </c:pt>
                <c:pt idx="5">
                  <c:v>10.14</c:v>
                </c:pt>
                <c:pt idx="6">
                  <c:v>11.700000000000001</c:v>
                </c:pt>
                <c:pt idx="7">
                  <c:v>13.26</c:v>
                </c:pt>
                <c:pt idx="8">
                  <c:v>16.38</c:v>
                </c:pt>
                <c:pt idx="9">
                  <c:v>19.5</c:v>
                </c:pt>
                <c:pt idx="10">
                  <c:v>22.62</c:v>
                </c:pt>
                <c:pt idx="11">
                  <c:v>25.740000000000002</c:v>
                </c:pt>
                <c:pt idx="12">
                  <c:v>28.86</c:v>
                </c:pt>
                <c:pt idx="13">
                  <c:v>31.98</c:v>
                </c:pt>
                <c:pt idx="14">
                  <c:v>33.54</c:v>
                </c:pt>
                <c:pt idx="15">
                  <c:v>35.1</c:v>
                </c:pt>
                <c:pt idx="16">
                  <c:v>36.660000000000004</c:v>
                </c:pt>
                <c:pt idx="17">
                  <c:v>38.22</c:v>
                </c:pt>
                <c:pt idx="18">
                  <c:v>46.02</c:v>
                </c:pt>
                <c:pt idx="19">
                  <c:v>53.82</c:v>
                </c:pt>
                <c:pt idx="20">
                  <c:v>61.620000000000005</c:v>
                </c:pt>
                <c:pt idx="21">
                  <c:v>69.42</c:v>
                </c:pt>
                <c:pt idx="22">
                  <c:v>77.22</c:v>
                </c:pt>
                <c:pt idx="23">
                  <c:v>85.02</c:v>
                </c:pt>
                <c:pt idx="24">
                  <c:v>93.600000000000009</c:v>
                </c:pt>
              </c:numCache>
            </c:numRef>
          </c:yVal>
          <c:smooth val="0"/>
          <c:extLst>
            <c:ext xmlns:c16="http://schemas.microsoft.com/office/drawing/2014/chart" uri="{C3380CC4-5D6E-409C-BE32-E72D297353CC}">
              <c16:uniqueId val="{00000002-BC2A-422F-B3D6-017C88086DB1}"/>
            </c:ext>
          </c:extLst>
        </c:ser>
        <c:ser>
          <c:idx val="0"/>
          <c:order val="3"/>
          <c:spPr>
            <a:ln w="19050" cap="rnd">
              <a:solidFill>
                <a:schemeClr val="tx1"/>
              </a:solidFill>
              <a:round/>
            </a:ln>
            <a:effectLst/>
          </c:spPr>
          <c:marker>
            <c:symbol val="none"/>
          </c:marker>
          <c:xVal>
            <c:numRef>
              <c:f>Analysis!$X$284:$X$308</c:f>
              <c:numCache>
                <c:formatCode>0.0</c:formatCode>
                <c:ptCount val="25"/>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43</c:v>
                </c:pt>
                <c:pt idx="15">
                  <c:v>45</c:v>
                </c:pt>
                <c:pt idx="16">
                  <c:v>47</c:v>
                </c:pt>
                <c:pt idx="17">
                  <c:v>49</c:v>
                </c:pt>
                <c:pt idx="18">
                  <c:v>59</c:v>
                </c:pt>
                <c:pt idx="19">
                  <c:v>69</c:v>
                </c:pt>
                <c:pt idx="20">
                  <c:v>79</c:v>
                </c:pt>
                <c:pt idx="21">
                  <c:v>89</c:v>
                </c:pt>
                <c:pt idx="22">
                  <c:v>99</c:v>
                </c:pt>
                <c:pt idx="23">
                  <c:v>109</c:v>
                </c:pt>
                <c:pt idx="24">
                  <c:v>120</c:v>
                </c:pt>
              </c:numCache>
            </c:numRef>
          </c:xVal>
          <c:yVal>
            <c:numRef>
              <c:f>Analysis!$AA$284:$AA$308</c:f>
              <c:numCache>
                <c:formatCode>General</c:formatCode>
                <c:ptCount val="25"/>
                <c:pt idx="0">
                  <c:v>0</c:v>
                </c:pt>
                <c:pt idx="1">
                  <c:v>2.33</c:v>
                </c:pt>
                <c:pt idx="2">
                  <c:v>3.262</c:v>
                </c:pt>
                <c:pt idx="3">
                  <c:v>4.194</c:v>
                </c:pt>
                <c:pt idx="4">
                  <c:v>5.1260000000000003</c:v>
                </c:pt>
                <c:pt idx="5">
                  <c:v>6.0580000000000007</c:v>
                </c:pt>
                <c:pt idx="6">
                  <c:v>6.99</c:v>
                </c:pt>
                <c:pt idx="7">
                  <c:v>7.9220000000000006</c:v>
                </c:pt>
                <c:pt idx="8">
                  <c:v>9.7860000000000014</c:v>
                </c:pt>
                <c:pt idx="9">
                  <c:v>11.65</c:v>
                </c:pt>
                <c:pt idx="10">
                  <c:v>13.514000000000001</c:v>
                </c:pt>
                <c:pt idx="11">
                  <c:v>15.378</c:v>
                </c:pt>
                <c:pt idx="12">
                  <c:v>17.242000000000001</c:v>
                </c:pt>
                <c:pt idx="13">
                  <c:v>19.106000000000002</c:v>
                </c:pt>
                <c:pt idx="14">
                  <c:v>20.038</c:v>
                </c:pt>
                <c:pt idx="15">
                  <c:v>20.970000000000002</c:v>
                </c:pt>
                <c:pt idx="16">
                  <c:v>21.902000000000001</c:v>
                </c:pt>
                <c:pt idx="17">
                  <c:v>22.834</c:v>
                </c:pt>
                <c:pt idx="18">
                  <c:v>27.494</c:v>
                </c:pt>
                <c:pt idx="19">
                  <c:v>32.154000000000003</c:v>
                </c:pt>
                <c:pt idx="20">
                  <c:v>36.814</c:v>
                </c:pt>
                <c:pt idx="21">
                  <c:v>41.474000000000004</c:v>
                </c:pt>
                <c:pt idx="22">
                  <c:v>46.134</c:v>
                </c:pt>
                <c:pt idx="23">
                  <c:v>50.794000000000004</c:v>
                </c:pt>
                <c:pt idx="24">
                  <c:v>55.92</c:v>
                </c:pt>
              </c:numCache>
            </c:numRef>
          </c:yVal>
          <c:smooth val="0"/>
          <c:extLst>
            <c:ext xmlns:c16="http://schemas.microsoft.com/office/drawing/2014/chart" uri="{C3380CC4-5D6E-409C-BE32-E72D297353CC}">
              <c16:uniqueId val="{00000003-BC2A-422F-B3D6-017C88086DB1}"/>
            </c:ext>
          </c:extLst>
        </c:ser>
        <c:dLbls>
          <c:showLegendKey val="0"/>
          <c:showVal val="0"/>
          <c:showCatName val="0"/>
          <c:showSerName val="0"/>
          <c:showPercent val="0"/>
          <c:showBubbleSize val="0"/>
        </c:dLbls>
        <c:axId val="629106480"/>
        <c:axId val="312826928"/>
      </c:scatterChart>
      <c:valAx>
        <c:axId val="629106480"/>
        <c:scaling>
          <c:orientation val="minMax"/>
          <c:max val="12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a:t>
                </a:r>
                <a:r>
                  <a:rPr lang="en-US" baseline="-25000"/>
                  <a:t>1</a:t>
                </a:r>
                <a:r>
                  <a:rPr lang="en-US"/>
                  <a:t> W/S</a:t>
                </a:r>
              </a:p>
            </c:rich>
          </c:tx>
          <c:layout>
            <c:manualLayout>
              <c:xMode val="edge"/>
              <c:yMode val="edge"/>
              <c:x val="0.46267944562316499"/>
              <c:y val="0.9366309767521149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2826928"/>
        <c:crosses val="autoZero"/>
        <c:crossBetween val="midCat"/>
      </c:valAx>
      <c:valAx>
        <c:axId val="312826928"/>
        <c:scaling>
          <c:orientation val="minMax"/>
          <c:max val="7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n</a:t>
                </a:r>
                <a:r>
                  <a:rPr lang="en-US" baseline="-25000"/>
                  <a:t>4</a:t>
                </a:r>
                <a:r>
                  <a:rPr lang="en-US"/>
                  <a:t>/n</a:t>
                </a:r>
                <a:r>
                  <a:rPr lang="en-US" baseline="-25000"/>
                  <a:t>1</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9106480"/>
        <c:crosses val="autoZero"/>
        <c:crossBetween val="midCat"/>
        <c:majorUnit val="10"/>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Aileron, Unit Loads and Moment</a:t>
            </a:r>
            <a:r>
              <a:rPr lang="en-US" baseline="0"/>
              <a:t> per ft span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ysClr val="windowText" lastClr="000000"/>
              </a:solidFill>
              <a:round/>
            </a:ln>
            <a:effectLst/>
          </c:spPr>
          <c:marker>
            <c:symbol val="none"/>
          </c:marker>
          <c:xVal>
            <c:numRef>
              <c:f>'Aileron Load'!$Z$20:$Z$49</c:f>
              <c:numCache>
                <c:formatCode>0.000</c:formatCode>
                <c:ptCount val="30"/>
                <c:pt idx="0">
                  <c:v>6.0000000000000005E-2</c:v>
                </c:pt>
                <c:pt idx="1">
                  <c:v>0.18000000000000002</c:v>
                </c:pt>
                <c:pt idx="2">
                  <c:v>0.30000000000000004</c:v>
                </c:pt>
                <c:pt idx="3">
                  <c:v>0.42000000000000004</c:v>
                </c:pt>
                <c:pt idx="4">
                  <c:v>0.54</c:v>
                </c:pt>
                <c:pt idx="5">
                  <c:v>0.66000000000000014</c:v>
                </c:pt>
                <c:pt idx="6">
                  <c:v>0.78</c:v>
                </c:pt>
                <c:pt idx="7">
                  <c:v>0.90000000000000013</c:v>
                </c:pt>
                <c:pt idx="8">
                  <c:v>1.02</c:v>
                </c:pt>
                <c:pt idx="9">
                  <c:v>1.1400000000000001</c:v>
                </c:pt>
                <c:pt idx="10">
                  <c:v>1.2600000000000002</c:v>
                </c:pt>
                <c:pt idx="11">
                  <c:v>1.3800000000000003</c:v>
                </c:pt>
                <c:pt idx="12">
                  <c:v>1.5000000000000004</c:v>
                </c:pt>
                <c:pt idx="13">
                  <c:v>1.6200000000000006</c:v>
                </c:pt>
                <c:pt idx="14">
                  <c:v>1.7400000000000007</c:v>
                </c:pt>
                <c:pt idx="15">
                  <c:v>1.8600000000000008</c:v>
                </c:pt>
                <c:pt idx="16">
                  <c:v>1.9800000000000009</c:v>
                </c:pt>
                <c:pt idx="17">
                  <c:v>2.100000000000001</c:v>
                </c:pt>
                <c:pt idx="18">
                  <c:v>2.2200000000000011</c:v>
                </c:pt>
                <c:pt idx="19">
                  <c:v>2.3400000000000012</c:v>
                </c:pt>
                <c:pt idx="20">
                  <c:v>2.4600000000000013</c:v>
                </c:pt>
                <c:pt idx="21">
                  <c:v>2.5800000000000014</c:v>
                </c:pt>
                <c:pt idx="22">
                  <c:v>2.7000000000000015</c:v>
                </c:pt>
                <c:pt idx="23">
                  <c:v>2.8200000000000016</c:v>
                </c:pt>
                <c:pt idx="24">
                  <c:v>2.9400000000000017</c:v>
                </c:pt>
                <c:pt idx="25">
                  <c:v>3.0600000000000018</c:v>
                </c:pt>
                <c:pt idx="26">
                  <c:v>3.1800000000000019</c:v>
                </c:pt>
                <c:pt idx="27">
                  <c:v>3.300000000000002</c:v>
                </c:pt>
                <c:pt idx="28">
                  <c:v>3.4200000000000021</c:v>
                </c:pt>
                <c:pt idx="29">
                  <c:v>3.5400000000000023</c:v>
                </c:pt>
              </c:numCache>
            </c:numRef>
          </c:xVal>
          <c:yVal>
            <c:numRef>
              <c:f>'Aileron Load'!$AQ$20:$AQ$49</c:f>
              <c:numCache>
                <c:formatCode>0.00</c:formatCode>
                <c:ptCount val="30"/>
                <c:pt idx="0">
                  <c:v>54.068469665513284</c:v>
                </c:pt>
                <c:pt idx="1">
                  <c:v>54.467498961937729</c:v>
                </c:pt>
                <c:pt idx="2">
                  <c:v>54.86652825836218</c:v>
                </c:pt>
                <c:pt idx="3">
                  <c:v>55.265557554786632</c:v>
                </c:pt>
                <c:pt idx="4">
                  <c:v>55.664586851211084</c:v>
                </c:pt>
                <c:pt idx="5">
                  <c:v>56.063616147635535</c:v>
                </c:pt>
                <c:pt idx="6">
                  <c:v>56.462645444059994</c:v>
                </c:pt>
                <c:pt idx="7">
                  <c:v>56.86167474048446</c:v>
                </c:pt>
                <c:pt idx="8">
                  <c:v>57.260704036908905</c:v>
                </c:pt>
                <c:pt idx="9">
                  <c:v>57.659733333333342</c:v>
                </c:pt>
                <c:pt idx="10">
                  <c:v>58.058762629757794</c:v>
                </c:pt>
                <c:pt idx="11">
                  <c:v>58.457791926182253</c:v>
                </c:pt>
                <c:pt idx="12">
                  <c:v>58.856821222606719</c:v>
                </c:pt>
                <c:pt idx="13">
                  <c:v>59.255850519031171</c:v>
                </c:pt>
                <c:pt idx="14">
                  <c:v>59.654879815455615</c:v>
                </c:pt>
                <c:pt idx="15">
                  <c:v>60.053909111880067</c:v>
                </c:pt>
                <c:pt idx="16">
                  <c:v>60.452938408304519</c:v>
                </c:pt>
                <c:pt idx="17">
                  <c:v>60.85196770472897</c:v>
                </c:pt>
                <c:pt idx="18">
                  <c:v>61.250997001153429</c:v>
                </c:pt>
                <c:pt idx="19">
                  <c:v>61.650026297577881</c:v>
                </c:pt>
                <c:pt idx="20">
                  <c:v>62.049055594002326</c:v>
                </c:pt>
                <c:pt idx="21">
                  <c:v>62.448084890426784</c:v>
                </c:pt>
                <c:pt idx="22">
                  <c:v>62.847114186851236</c:v>
                </c:pt>
                <c:pt idx="23">
                  <c:v>63.246143483275688</c:v>
                </c:pt>
                <c:pt idx="24">
                  <c:v>63.64517277970014</c:v>
                </c:pt>
                <c:pt idx="25">
                  <c:v>64.044202076124591</c:v>
                </c:pt>
                <c:pt idx="26">
                  <c:v>64.44323137254905</c:v>
                </c:pt>
                <c:pt idx="27">
                  <c:v>64.842260668973495</c:v>
                </c:pt>
                <c:pt idx="28">
                  <c:v>65.241289965397954</c:v>
                </c:pt>
                <c:pt idx="29">
                  <c:v>65.640319261822398</c:v>
                </c:pt>
              </c:numCache>
            </c:numRef>
          </c:yVal>
          <c:smooth val="0"/>
          <c:extLst>
            <c:ext xmlns:c16="http://schemas.microsoft.com/office/drawing/2014/chart" uri="{C3380CC4-5D6E-409C-BE32-E72D297353CC}">
              <c16:uniqueId val="{00000000-AEE6-4178-B315-D1AE3A343108}"/>
            </c:ext>
          </c:extLst>
        </c:ser>
        <c:dLbls>
          <c:showLegendKey val="0"/>
          <c:showVal val="0"/>
          <c:showCatName val="0"/>
          <c:showSerName val="0"/>
          <c:showPercent val="0"/>
          <c:showBubbleSize val="0"/>
        </c:dLbls>
        <c:axId val="784740528"/>
        <c:axId val="784737904"/>
      </c:scatterChart>
      <c:scatterChart>
        <c:scatterStyle val="lineMarker"/>
        <c:varyColors val="0"/>
        <c:ser>
          <c:idx val="1"/>
          <c:order val="1"/>
          <c:spPr>
            <a:ln w="19050" cap="rnd">
              <a:solidFill>
                <a:sysClr val="windowText" lastClr="000000"/>
              </a:solidFill>
              <a:prstDash val="sysDash"/>
              <a:round/>
            </a:ln>
            <a:effectLst/>
          </c:spPr>
          <c:marker>
            <c:symbol val="none"/>
          </c:marker>
          <c:xVal>
            <c:numRef>
              <c:f>'Aileron Load'!$Z$20:$Z$50</c:f>
              <c:numCache>
                <c:formatCode>0.000</c:formatCode>
                <c:ptCount val="31"/>
                <c:pt idx="0">
                  <c:v>6.0000000000000005E-2</c:v>
                </c:pt>
                <c:pt idx="1">
                  <c:v>0.18000000000000002</c:v>
                </c:pt>
                <c:pt idx="2">
                  <c:v>0.30000000000000004</c:v>
                </c:pt>
                <c:pt idx="3">
                  <c:v>0.42000000000000004</c:v>
                </c:pt>
                <c:pt idx="4">
                  <c:v>0.54</c:v>
                </c:pt>
                <c:pt idx="5">
                  <c:v>0.66000000000000014</c:v>
                </c:pt>
                <c:pt idx="6">
                  <c:v>0.78</c:v>
                </c:pt>
                <c:pt idx="7">
                  <c:v>0.90000000000000013</c:v>
                </c:pt>
                <c:pt idx="8">
                  <c:v>1.02</c:v>
                </c:pt>
                <c:pt idx="9">
                  <c:v>1.1400000000000001</c:v>
                </c:pt>
                <c:pt idx="10">
                  <c:v>1.2600000000000002</c:v>
                </c:pt>
                <c:pt idx="11">
                  <c:v>1.3800000000000003</c:v>
                </c:pt>
                <c:pt idx="12">
                  <c:v>1.5000000000000004</c:v>
                </c:pt>
                <c:pt idx="13">
                  <c:v>1.6200000000000006</c:v>
                </c:pt>
                <c:pt idx="14">
                  <c:v>1.7400000000000007</c:v>
                </c:pt>
                <c:pt idx="15">
                  <c:v>1.8600000000000008</c:v>
                </c:pt>
                <c:pt idx="16">
                  <c:v>1.9800000000000009</c:v>
                </c:pt>
                <c:pt idx="17">
                  <c:v>2.100000000000001</c:v>
                </c:pt>
                <c:pt idx="18">
                  <c:v>2.2200000000000011</c:v>
                </c:pt>
                <c:pt idx="19">
                  <c:v>2.3400000000000012</c:v>
                </c:pt>
                <c:pt idx="20">
                  <c:v>2.4600000000000013</c:v>
                </c:pt>
                <c:pt idx="21">
                  <c:v>2.5800000000000014</c:v>
                </c:pt>
                <c:pt idx="22">
                  <c:v>2.7000000000000015</c:v>
                </c:pt>
                <c:pt idx="23">
                  <c:v>2.8200000000000016</c:v>
                </c:pt>
                <c:pt idx="24">
                  <c:v>2.9400000000000017</c:v>
                </c:pt>
                <c:pt idx="25">
                  <c:v>3.0600000000000018</c:v>
                </c:pt>
                <c:pt idx="26">
                  <c:v>3.1800000000000019</c:v>
                </c:pt>
                <c:pt idx="27">
                  <c:v>3.300000000000002</c:v>
                </c:pt>
                <c:pt idx="28">
                  <c:v>3.4200000000000021</c:v>
                </c:pt>
                <c:pt idx="29">
                  <c:v>3.5400000000000023</c:v>
                </c:pt>
              </c:numCache>
            </c:numRef>
          </c:xVal>
          <c:yVal>
            <c:numRef>
              <c:f>'Aileron Load'!$AR$20:$AR$49</c:f>
              <c:numCache>
                <c:formatCode>0.00</c:formatCode>
                <c:ptCount val="30"/>
                <c:pt idx="0">
                  <c:v>1.093977610662568</c:v>
                </c:pt>
                <c:pt idx="1">
                  <c:v>1.0871054394463684</c:v>
                </c:pt>
                <c:pt idx="2">
                  <c:v>1.0800115852877106</c:v>
                </c:pt>
                <c:pt idx="3">
                  <c:v>1.0726960481865973</c:v>
                </c:pt>
                <c:pt idx="4">
                  <c:v>1.0651588281430235</c:v>
                </c:pt>
                <c:pt idx="5">
                  <c:v>1.057399925156991</c:v>
                </c:pt>
                <c:pt idx="6">
                  <c:v>1.0494193392285003</c:v>
                </c:pt>
                <c:pt idx="7">
                  <c:v>1.0412170703575567</c:v>
                </c:pt>
                <c:pt idx="8">
                  <c:v>1.0327931185441479</c:v>
                </c:pt>
                <c:pt idx="9">
                  <c:v>1.0241474837882836</c:v>
                </c:pt>
                <c:pt idx="10">
                  <c:v>1.0152801660899673</c:v>
                </c:pt>
                <c:pt idx="11">
                  <c:v>1.0061911654491862</c:v>
                </c:pt>
                <c:pt idx="12">
                  <c:v>0.9968804818659468</c:v>
                </c:pt>
                <c:pt idx="13">
                  <c:v>0.98734811534025457</c:v>
                </c:pt>
                <c:pt idx="14">
                  <c:v>0.97759406587209952</c:v>
                </c:pt>
                <c:pt idx="15">
                  <c:v>0.96761833346148651</c:v>
                </c:pt>
                <c:pt idx="16">
                  <c:v>0.95742091810842045</c:v>
                </c:pt>
                <c:pt idx="17">
                  <c:v>0.94700181981289178</c:v>
                </c:pt>
                <c:pt idx="18">
                  <c:v>0.93636103857490394</c:v>
                </c:pt>
                <c:pt idx="19">
                  <c:v>0.92549857439446659</c:v>
                </c:pt>
                <c:pt idx="20">
                  <c:v>0.91441442727156297</c:v>
                </c:pt>
                <c:pt idx="21">
                  <c:v>0.9031085972062014</c:v>
                </c:pt>
                <c:pt idx="22">
                  <c:v>0.89158108419838666</c:v>
                </c:pt>
                <c:pt idx="23">
                  <c:v>0.87983188824810699</c:v>
                </c:pt>
                <c:pt idx="24">
                  <c:v>0.86786100935537291</c:v>
                </c:pt>
                <c:pt idx="25">
                  <c:v>0.85566844752017845</c:v>
                </c:pt>
                <c:pt idx="26">
                  <c:v>0.84325420274253449</c:v>
                </c:pt>
                <c:pt idx="27">
                  <c:v>0.83061827502242436</c:v>
                </c:pt>
                <c:pt idx="28">
                  <c:v>0.81776066435985861</c:v>
                </c:pt>
                <c:pt idx="29">
                  <c:v>0.80468137075483859</c:v>
                </c:pt>
              </c:numCache>
            </c:numRef>
          </c:yVal>
          <c:smooth val="0"/>
          <c:extLst>
            <c:ext xmlns:c16="http://schemas.microsoft.com/office/drawing/2014/chart" uri="{C3380CC4-5D6E-409C-BE32-E72D297353CC}">
              <c16:uniqueId val="{00000001-AEE6-4178-B315-D1AE3A343108}"/>
            </c:ext>
          </c:extLst>
        </c:ser>
        <c:dLbls>
          <c:showLegendKey val="0"/>
          <c:showVal val="0"/>
          <c:showCatName val="0"/>
          <c:showSerName val="0"/>
          <c:showPercent val="0"/>
          <c:showBubbleSize val="0"/>
        </c:dLbls>
        <c:axId val="783611360"/>
        <c:axId val="749148952"/>
      </c:scatterChart>
      <c:valAx>
        <c:axId val="78474052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Span</a:t>
                </a:r>
                <a:r>
                  <a:rPr lang="en-US" baseline="0"/>
                  <a:t> Position (ft)</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37904"/>
        <c:crosses val="autoZero"/>
        <c:crossBetween val="midCat"/>
      </c:valAx>
      <c:valAx>
        <c:axId val="784737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Load per Unit Span (ib/ft)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40528"/>
        <c:crosses val="autoZero"/>
        <c:crossBetween val="midCat"/>
      </c:valAx>
      <c:valAx>
        <c:axId val="749148952"/>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Moment per Unit Span (ftlb/ft)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3611360"/>
        <c:crosses val="max"/>
        <c:crossBetween val="midCat"/>
      </c:valAx>
      <c:valAx>
        <c:axId val="783611360"/>
        <c:scaling>
          <c:orientation val="minMax"/>
        </c:scaling>
        <c:delete val="1"/>
        <c:axPos val="b"/>
        <c:numFmt formatCode="0.000" sourceLinked="1"/>
        <c:majorTickMark val="out"/>
        <c:minorTickMark val="none"/>
        <c:tickLblPos val="nextTo"/>
        <c:crossAx val="749148952"/>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Elevator, Unit Loads and Moment</a:t>
            </a:r>
            <a:r>
              <a:rPr lang="en-US" baseline="0"/>
              <a:t> per ft span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ysClr val="windowText" lastClr="000000"/>
              </a:solidFill>
              <a:round/>
            </a:ln>
            <a:effectLst/>
          </c:spPr>
          <c:marker>
            <c:symbol val="none"/>
          </c:marker>
          <c:xVal>
            <c:numRef>
              <c:f>'Elevator Load'!$X$20:$X$49</c:f>
              <c:numCache>
                <c:formatCode>0.000</c:formatCode>
                <c:ptCount val="30"/>
                <c:pt idx="0">
                  <c:v>3.9333333333333331</c:v>
                </c:pt>
                <c:pt idx="1">
                  <c:v>3.8</c:v>
                </c:pt>
                <c:pt idx="2">
                  <c:v>3.6666666666666665</c:v>
                </c:pt>
                <c:pt idx="3">
                  <c:v>3.5333333333333332</c:v>
                </c:pt>
                <c:pt idx="4">
                  <c:v>3.4</c:v>
                </c:pt>
                <c:pt idx="5">
                  <c:v>3.2666666666666666</c:v>
                </c:pt>
                <c:pt idx="6">
                  <c:v>3.1333333333333333</c:v>
                </c:pt>
                <c:pt idx="7">
                  <c:v>3</c:v>
                </c:pt>
                <c:pt idx="8">
                  <c:v>2.8666666666666667</c:v>
                </c:pt>
                <c:pt idx="9">
                  <c:v>2.7333333333333334</c:v>
                </c:pt>
                <c:pt idx="10">
                  <c:v>2.6</c:v>
                </c:pt>
                <c:pt idx="11">
                  <c:v>2.4666666666666668</c:v>
                </c:pt>
                <c:pt idx="12">
                  <c:v>2.3333333333333335</c:v>
                </c:pt>
                <c:pt idx="13">
                  <c:v>2.2000000000000002</c:v>
                </c:pt>
                <c:pt idx="14">
                  <c:v>2.0666666666666669</c:v>
                </c:pt>
                <c:pt idx="15">
                  <c:v>1.9333333333333336</c:v>
                </c:pt>
                <c:pt idx="16">
                  <c:v>1.7999999999999998</c:v>
                </c:pt>
                <c:pt idx="17">
                  <c:v>1.666666666666667</c:v>
                </c:pt>
                <c:pt idx="18">
                  <c:v>1.5333333333333332</c:v>
                </c:pt>
                <c:pt idx="19">
                  <c:v>1.4000000000000004</c:v>
                </c:pt>
                <c:pt idx="20">
                  <c:v>1.2666666666666666</c:v>
                </c:pt>
                <c:pt idx="21">
                  <c:v>1.1333333333333337</c:v>
                </c:pt>
                <c:pt idx="22">
                  <c:v>1</c:v>
                </c:pt>
                <c:pt idx="23">
                  <c:v>0.86666666666666714</c:v>
                </c:pt>
                <c:pt idx="24">
                  <c:v>0.73333333333333339</c:v>
                </c:pt>
                <c:pt idx="25">
                  <c:v>0.60000000000000053</c:v>
                </c:pt>
                <c:pt idx="26">
                  <c:v>0.46666666666666679</c:v>
                </c:pt>
                <c:pt idx="27">
                  <c:v>0.33333333333333393</c:v>
                </c:pt>
                <c:pt idx="28">
                  <c:v>0.20000000000000018</c:v>
                </c:pt>
                <c:pt idx="29">
                  <c:v>6.6666666666667318E-2</c:v>
                </c:pt>
              </c:numCache>
            </c:numRef>
          </c:xVal>
          <c:yVal>
            <c:numRef>
              <c:f>'Elevator Load'!$CX$20:$CX$49</c:f>
              <c:numCache>
                <c:formatCode>0.00</c:formatCode>
                <c:ptCount val="30"/>
                <c:pt idx="0">
                  <c:v>29.078036624387547</c:v>
                </c:pt>
                <c:pt idx="1">
                  <c:v>31.254882191501739</c:v>
                </c:pt>
                <c:pt idx="2">
                  <c:v>33.431727758615928</c:v>
                </c:pt>
                <c:pt idx="3">
                  <c:v>35.608573325730113</c:v>
                </c:pt>
                <c:pt idx="4">
                  <c:v>37.785418892844291</c:v>
                </c:pt>
                <c:pt idx="5">
                  <c:v>39.96226445995849</c:v>
                </c:pt>
                <c:pt idx="6">
                  <c:v>42.139110027072675</c:v>
                </c:pt>
                <c:pt idx="7">
                  <c:v>44.31595559418686</c:v>
                </c:pt>
                <c:pt idx="8">
                  <c:v>46.492801161301053</c:v>
                </c:pt>
                <c:pt idx="9">
                  <c:v>48.669646728415231</c:v>
                </c:pt>
                <c:pt idx="10">
                  <c:v>50.84649229552943</c:v>
                </c:pt>
                <c:pt idx="11">
                  <c:v>53.023337862643615</c:v>
                </c:pt>
                <c:pt idx="12">
                  <c:v>55.200183429757793</c:v>
                </c:pt>
                <c:pt idx="13">
                  <c:v>57.377028996871971</c:v>
                </c:pt>
                <c:pt idx="14">
                  <c:v>59.553874563986163</c:v>
                </c:pt>
                <c:pt idx="15">
                  <c:v>61.730720131100334</c:v>
                </c:pt>
                <c:pt idx="16">
                  <c:v>63.90756569821454</c:v>
                </c:pt>
                <c:pt idx="17">
                  <c:v>66.08441126532874</c:v>
                </c:pt>
                <c:pt idx="18">
                  <c:v>68.261256832442911</c:v>
                </c:pt>
                <c:pt idx="19">
                  <c:v>70.438102399557096</c:v>
                </c:pt>
                <c:pt idx="20">
                  <c:v>72.614947966671281</c:v>
                </c:pt>
                <c:pt idx="21">
                  <c:v>74.791793533785466</c:v>
                </c:pt>
                <c:pt idx="22">
                  <c:v>76.968639100899679</c:v>
                </c:pt>
                <c:pt idx="23">
                  <c:v>79.145484668013864</c:v>
                </c:pt>
                <c:pt idx="24">
                  <c:v>81.322330235128049</c:v>
                </c:pt>
                <c:pt idx="25">
                  <c:v>83.499175802242235</c:v>
                </c:pt>
                <c:pt idx="26">
                  <c:v>85.67602136935642</c:v>
                </c:pt>
                <c:pt idx="27">
                  <c:v>87.852866936470591</c:v>
                </c:pt>
                <c:pt idx="28">
                  <c:v>90.02971250358479</c:v>
                </c:pt>
                <c:pt idx="29">
                  <c:v>92.206558070698961</c:v>
                </c:pt>
              </c:numCache>
            </c:numRef>
          </c:yVal>
          <c:smooth val="0"/>
          <c:extLst>
            <c:ext xmlns:c16="http://schemas.microsoft.com/office/drawing/2014/chart" uri="{C3380CC4-5D6E-409C-BE32-E72D297353CC}">
              <c16:uniqueId val="{00000000-35FA-479E-A0BB-2D9DD0833A29}"/>
            </c:ext>
          </c:extLst>
        </c:ser>
        <c:ser>
          <c:idx val="2"/>
          <c:order val="2"/>
          <c:spPr>
            <a:ln w="19050" cap="rnd">
              <a:solidFill>
                <a:schemeClr val="tx1"/>
              </a:solidFill>
              <a:round/>
            </a:ln>
            <a:effectLst/>
          </c:spPr>
          <c:marker>
            <c:symbol val="none"/>
          </c:marker>
          <c:xVal>
            <c:numRef>
              <c:f>'Elevator Load'!$Y$20:$Y$49</c:f>
              <c:numCache>
                <c:formatCode>0.000</c:formatCode>
                <c:ptCount val="30"/>
                <c:pt idx="0">
                  <c:v>-3.9333333333333331</c:v>
                </c:pt>
                <c:pt idx="1">
                  <c:v>-3.8</c:v>
                </c:pt>
                <c:pt idx="2">
                  <c:v>-3.6666666666666665</c:v>
                </c:pt>
                <c:pt idx="3">
                  <c:v>-3.5333333333333332</c:v>
                </c:pt>
                <c:pt idx="4">
                  <c:v>-3.4</c:v>
                </c:pt>
                <c:pt idx="5">
                  <c:v>-3.2666666666666666</c:v>
                </c:pt>
                <c:pt idx="6">
                  <c:v>-3.1333333333333333</c:v>
                </c:pt>
                <c:pt idx="7">
                  <c:v>-3</c:v>
                </c:pt>
                <c:pt idx="8">
                  <c:v>-2.8666666666666667</c:v>
                </c:pt>
                <c:pt idx="9">
                  <c:v>-2.7333333333333334</c:v>
                </c:pt>
                <c:pt idx="10">
                  <c:v>-2.6</c:v>
                </c:pt>
                <c:pt idx="11">
                  <c:v>-2.4666666666666668</c:v>
                </c:pt>
                <c:pt idx="12">
                  <c:v>-2.3333333333333335</c:v>
                </c:pt>
                <c:pt idx="13">
                  <c:v>-2.2000000000000002</c:v>
                </c:pt>
                <c:pt idx="14">
                  <c:v>-2.0666666666666669</c:v>
                </c:pt>
                <c:pt idx="15">
                  <c:v>-1.9333333333333336</c:v>
                </c:pt>
                <c:pt idx="16">
                  <c:v>-1.7999999999999998</c:v>
                </c:pt>
                <c:pt idx="17">
                  <c:v>-1.666666666666667</c:v>
                </c:pt>
                <c:pt idx="18">
                  <c:v>-1.5333333333333332</c:v>
                </c:pt>
                <c:pt idx="19">
                  <c:v>-1.4000000000000004</c:v>
                </c:pt>
                <c:pt idx="20">
                  <c:v>-1.2666666666666666</c:v>
                </c:pt>
                <c:pt idx="21">
                  <c:v>-1.1333333333333337</c:v>
                </c:pt>
                <c:pt idx="22">
                  <c:v>-1</c:v>
                </c:pt>
                <c:pt idx="23">
                  <c:v>-0.86666666666666714</c:v>
                </c:pt>
                <c:pt idx="24">
                  <c:v>-0.73333333333333339</c:v>
                </c:pt>
                <c:pt idx="25">
                  <c:v>-0.60000000000000053</c:v>
                </c:pt>
                <c:pt idx="26">
                  <c:v>-0.46666666666666679</c:v>
                </c:pt>
                <c:pt idx="27">
                  <c:v>-0.33333333333333393</c:v>
                </c:pt>
                <c:pt idx="28">
                  <c:v>-0.20000000000000018</c:v>
                </c:pt>
                <c:pt idx="29">
                  <c:v>-6.6666666666667318E-2</c:v>
                </c:pt>
              </c:numCache>
            </c:numRef>
          </c:xVal>
          <c:yVal>
            <c:numRef>
              <c:f>'Elevator Load'!$CX$20:$CX$49</c:f>
              <c:numCache>
                <c:formatCode>0.00</c:formatCode>
                <c:ptCount val="30"/>
                <c:pt idx="0">
                  <c:v>29.078036624387547</c:v>
                </c:pt>
                <c:pt idx="1">
                  <c:v>31.254882191501739</c:v>
                </c:pt>
                <c:pt idx="2">
                  <c:v>33.431727758615928</c:v>
                </c:pt>
                <c:pt idx="3">
                  <c:v>35.608573325730113</c:v>
                </c:pt>
                <c:pt idx="4">
                  <c:v>37.785418892844291</c:v>
                </c:pt>
                <c:pt idx="5">
                  <c:v>39.96226445995849</c:v>
                </c:pt>
                <c:pt idx="6">
                  <c:v>42.139110027072675</c:v>
                </c:pt>
                <c:pt idx="7">
                  <c:v>44.31595559418686</c:v>
                </c:pt>
                <c:pt idx="8">
                  <c:v>46.492801161301053</c:v>
                </c:pt>
                <c:pt idx="9">
                  <c:v>48.669646728415231</c:v>
                </c:pt>
                <c:pt idx="10">
                  <c:v>50.84649229552943</c:v>
                </c:pt>
                <c:pt idx="11">
                  <c:v>53.023337862643615</c:v>
                </c:pt>
                <c:pt idx="12">
                  <c:v>55.200183429757793</c:v>
                </c:pt>
                <c:pt idx="13">
                  <c:v>57.377028996871971</c:v>
                </c:pt>
                <c:pt idx="14">
                  <c:v>59.553874563986163</c:v>
                </c:pt>
                <c:pt idx="15">
                  <c:v>61.730720131100334</c:v>
                </c:pt>
                <c:pt idx="16">
                  <c:v>63.90756569821454</c:v>
                </c:pt>
                <c:pt idx="17">
                  <c:v>66.08441126532874</c:v>
                </c:pt>
                <c:pt idx="18">
                  <c:v>68.261256832442911</c:v>
                </c:pt>
                <c:pt idx="19">
                  <c:v>70.438102399557096</c:v>
                </c:pt>
                <c:pt idx="20">
                  <c:v>72.614947966671281</c:v>
                </c:pt>
                <c:pt idx="21">
                  <c:v>74.791793533785466</c:v>
                </c:pt>
                <c:pt idx="22">
                  <c:v>76.968639100899679</c:v>
                </c:pt>
                <c:pt idx="23">
                  <c:v>79.145484668013864</c:v>
                </c:pt>
                <c:pt idx="24">
                  <c:v>81.322330235128049</c:v>
                </c:pt>
                <c:pt idx="25">
                  <c:v>83.499175802242235</c:v>
                </c:pt>
                <c:pt idx="26">
                  <c:v>85.67602136935642</c:v>
                </c:pt>
                <c:pt idx="27">
                  <c:v>87.852866936470591</c:v>
                </c:pt>
                <c:pt idx="28">
                  <c:v>90.02971250358479</c:v>
                </c:pt>
                <c:pt idx="29">
                  <c:v>92.206558070698961</c:v>
                </c:pt>
              </c:numCache>
            </c:numRef>
          </c:yVal>
          <c:smooth val="0"/>
          <c:extLst>
            <c:ext xmlns:c16="http://schemas.microsoft.com/office/drawing/2014/chart" uri="{C3380CC4-5D6E-409C-BE32-E72D297353CC}">
              <c16:uniqueId val="{00000000-2EC6-4C77-AA18-28B3F74D0258}"/>
            </c:ext>
          </c:extLst>
        </c:ser>
        <c:dLbls>
          <c:showLegendKey val="0"/>
          <c:showVal val="0"/>
          <c:showCatName val="0"/>
          <c:showSerName val="0"/>
          <c:showPercent val="0"/>
          <c:showBubbleSize val="0"/>
        </c:dLbls>
        <c:axId val="784740528"/>
        <c:axId val="784737904"/>
      </c:scatterChart>
      <c:scatterChart>
        <c:scatterStyle val="lineMarker"/>
        <c:varyColors val="0"/>
        <c:ser>
          <c:idx val="1"/>
          <c:order val="1"/>
          <c:spPr>
            <a:ln w="19050" cap="rnd">
              <a:solidFill>
                <a:sysClr val="windowText" lastClr="000000"/>
              </a:solidFill>
              <a:prstDash val="sysDash"/>
              <a:round/>
            </a:ln>
            <a:effectLst/>
          </c:spPr>
          <c:marker>
            <c:symbol val="none"/>
          </c:marker>
          <c:xVal>
            <c:numRef>
              <c:f>'Elevator Load'!$X$20:$X$50</c:f>
              <c:numCache>
                <c:formatCode>0.000</c:formatCode>
                <c:ptCount val="31"/>
                <c:pt idx="0">
                  <c:v>3.9333333333333331</c:v>
                </c:pt>
                <c:pt idx="1">
                  <c:v>3.8</c:v>
                </c:pt>
                <c:pt idx="2">
                  <c:v>3.6666666666666665</c:v>
                </c:pt>
                <c:pt idx="3">
                  <c:v>3.5333333333333332</c:v>
                </c:pt>
                <c:pt idx="4">
                  <c:v>3.4</c:v>
                </c:pt>
                <c:pt idx="5">
                  <c:v>3.2666666666666666</c:v>
                </c:pt>
                <c:pt idx="6">
                  <c:v>3.1333333333333333</c:v>
                </c:pt>
                <c:pt idx="7">
                  <c:v>3</c:v>
                </c:pt>
                <c:pt idx="8">
                  <c:v>2.8666666666666667</c:v>
                </c:pt>
                <c:pt idx="9">
                  <c:v>2.7333333333333334</c:v>
                </c:pt>
                <c:pt idx="10">
                  <c:v>2.6</c:v>
                </c:pt>
                <c:pt idx="11">
                  <c:v>2.4666666666666668</c:v>
                </c:pt>
                <c:pt idx="12">
                  <c:v>2.3333333333333335</c:v>
                </c:pt>
                <c:pt idx="13">
                  <c:v>2.2000000000000002</c:v>
                </c:pt>
                <c:pt idx="14">
                  <c:v>2.0666666666666669</c:v>
                </c:pt>
                <c:pt idx="15">
                  <c:v>1.9333333333333336</c:v>
                </c:pt>
                <c:pt idx="16">
                  <c:v>1.7999999999999998</c:v>
                </c:pt>
                <c:pt idx="17">
                  <c:v>1.666666666666667</c:v>
                </c:pt>
                <c:pt idx="18">
                  <c:v>1.5333333333333332</c:v>
                </c:pt>
                <c:pt idx="19">
                  <c:v>1.4000000000000004</c:v>
                </c:pt>
                <c:pt idx="20">
                  <c:v>1.2666666666666666</c:v>
                </c:pt>
                <c:pt idx="21">
                  <c:v>1.1333333333333337</c:v>
                </c:pt>
                <c:pt idx="22">
                  <c:v>1</c:v>
                </c:pt>
                <c:pt idx="23">
                  <c:v>0.86666666666666714</c:v>
                </c:pt>
                <c:pt idx="24">
                  <c:v>0.73333333333333339</c:v>
                </c:pt>
                <c:pt idx="25">
                  <c:v>0.60000000000000053</c:v>
                </c:pt>
                <c:pt idx="26">
                  <c:v>0.46666666666666679</c:v>
                </c:pt>
                <c:pt idx="27">
                  <c:v>0.33333333333333393</c:v>
                </c:pt>
                <c:pt idx="28">
                  <c:v>0.20000000000000018</c:v>
                </c:pt>
                <c:pt idx="29">
                  <c:v>6.6666666666667318E-2</c:v>
                </c:pt>
              </c:numCache>
            </c:numRef>
          </c:xVal>
          <c:yVal>
            <c:numRef>
              <c:f>'Elevator Load'!$CY$20:$CY$49</c:f>
              <c:numCache>
                <c:formatCode>0.00</c:formatCode>
                <c:ptCount val="30"/>
                <c:pt idx="0">
                  <c:v>0.66554883951227206</c:v>
                </c:pt>
                <c:pt idx="1">
                  <c:v>0.69539198887075016</c:v>
                </c:pt>
                <c:pt idx="2">
                  <c:v>0.72245181657649493</c:v>
                </c:pt>
                <c:pt idx="3">
                  <c:v>0.74672832262950706</c:v>
                </c:pt>
                <c:pt idx="4">
                  <c:v>0.76822150702978576</c:v>
                </c:pt>
                <c:pt idx="5">
                  <c:v>0.78693136977733213</c:v>
                </c:pt>
                <c:pt idx="6">
                  <c:v>0.80285791087214475</c:v>
                </c:pt>
                <c:pt idx="7">
                  <c:v>0.81600113031422405</c:v>
                </c:pt>
                <c:pt idx="8">
                  <c:v>0.82636102810357026</c:v>
                </c:pt>
                <c:pt idx="9">
                  <c:v>0.83393760424018482</c:v>
                </c:pt>
                <c:pt idx="10">
                  <c:v>0.83873085872406528</c:v>
                </c:pt>
                <c:pt idx="11">
                  <c:v>0.84074079155521197</c:v>
                </c:pt>
                <c:pt idx="12">
                  <c:v>0.83996740273362713</c:v>
                </c:pt>
                <c:pt idx="13">
                  <c:v>0.83641069225930809</c:v>
                </c:pt>
                <c:pt idx="14">
                  <c:v>0.83007066013225717</c:v>
                </c:pt>
                <c:pt idx="15">
                  <c:v>0.82094730635247204</c:v>
                </c:pt>
                <c:pt idx="16">
                  <c:v>0.80904063091995426</c:v>
                </c:pt>
                <c:pt idx="17">
                  <c:v>0.79435063383470317</c:v>
                </c:pt>
                <c:pt idx="18">
                  <c:v>0.77687731509672042</c:v>
                </c:pt>
                <c:pt idx="19">
                  <c:v>0.75662067470600336</c:v>
                </c:pt>
                <c:pt idx="20">
                  <c:v>0.73358071266255409</c:v>
                </c:pt>
                <c:pt idx="21">
                  <c:v>0.70775742896637028</c:v>
                </c:pt>
                <c:pt idx="22">
                  <c:v>0.67915082361745527</c:v>
                </c:pt>
                <c:pt idx="23">
                  <c:v>0.64776089661580671</c:v>
                </c:pt>
                <c:pt idx="24">
                  <c:v>0.61358764796142395</c:v>
                </c:pt>
                <c:pt idx="25">
                  <c:v>0.57663107765430799</c:v>
                </c:pt>
                <c:pt idx="26">
                  <c:v>0.53689118569446026</c:v>
                </c:pt>
                <c:pt idx="27">
                  <c:v>0.49436797208187855</c:v>
                </c:pt>
                <c:pt idx="28">
                  <c:v>0.44906143681656202</c:v>
                </c:pt>
                <c:pt idx="29">
                  <c:v>0.40097157989851617</c:v>
                </c:pt>
              </c:numCache>
            </c:numRef>
          </c:yVal>
          <c:smooth val="0"/>
          <c:extLst>
            <c:ext xmlns:c16="http://schemas.microsoft.com/office/drawing/2014/chart" uri="{C3380CC4-5D6E-409C-BE32-E72D297353CC}">
              <c16:uniqueId val="{00000001-35FA-479E-A0BB-2D9DD0833A29}"/>
            </c:ext>
          </c:extLst>
        </c:ser>
        <c:ser>
          <c:idx val="3"/>
          <c:order val="3"/>
          <c:spPr>
            <a:ln w="19050" cap="rnd">
              <a:solidFill>
                <a:sysClr val="windowText" lastClr="000000"/>
              </a:solidFill>
              <a:prstDash val="sysDash"/>
              <a:round/>
            </a:ln>
            <a:effectLst/>
          </c:spPr>
          <c:marker>
            <c:symbol val="none"/>
          </c:marker>
          <c:xVal>
            <c:numRef>
              <c:f>'Elevator Load'!$Y$20:$Y$49</c:f>
              <c:numCache>
                <c:formatCode>0.000</c:formatCode>
                <c:ptCount val="30"/>
                <c:pt idx="0">
                  <c:v>-3.9333333333333331</c:v>
                </c:pt>
                <c:pt idx="1">
                  <c:v>-3.8</c:v>
                </c:pt>
                <c:pt idx="2">
                  <c:v>-3.6666666666666665</c:v>
                </c:pt>
                <c:pt idx="3">
                  <c:v>-3.5333333333333332</c:v>
                </c:pt>
                <c:pt idx="4">
                  <c:v>-3.4</c:v>
                </c:pt>
                <c:pt idx="5">
                  <c:v>-3.2666666666666666</c:v>
                </c:pt>
                <c:pt idx="6">
                  <c:v>-3.1333333333333333</c:v>
                </c:pt>
                <c:pt idx="7">
                  <c:v>-3</c:v>
                </c:pt>
                <c:pt idx="8">
                  <c:v>-2.8666666666666667</c:v>
                </c:pt>
                <c:pt idx="9">
                  <c:v>-2.7333333333333334</c:v>
                </c:pt>
                <c:pt idx="10">
                  <c:v>-2.6</c:v>
                </c:pt>
                <c:pt idx="11">
                  <c:v>-2.4666666666666668</c:v>
                </c:pt>
                <c:pt idx="12">
                  <c:v>-2.3333333333333335</c:v>
                </c:pt>
                <c:pt idx="13">
                  <c:v>-2.2000000000000002</c:v>
                </c:pt>
                <c:pt idx="14">
                  <c:v>-2.0666666666666669</c:v>
                </c:pt>
                <c:pt idx="15">
                  <c:v>-1.9333333333333336</c:v>
                </c:pt>
                <c:pt idx="16">
                  <c:v>-1.7999999999999998</c:v>
                </c:pt>
                <c:pt idx="17">
                  <c:v>-1.666666666666667</c:v>
                </c:pt>
                <c:pt idx="18">
                  <c:v>-1.5333333333333332</c:v>
                </c:pt>
                <c:pt idx="19">
                  <c:v>-1.4000000000000004</c:v>
                </c:pt>
                <c:pt idx="20">
                  <c:v>-1.2666666666666666</c:v>
                </c:pt>
                <c:pt idx="21">
                  <c:v>-1.1333333333333337</c:v>
                </c:pt>
                <c:pt idx="22">
                  <c:v>-1</c:v>
                </c:pt>
                <c:pt idx="23">
                  <c:v>-0.86666666666666714</c:v>
                </c:pt>
                <c:pt idx="24">
                  <c:v>-0.73333333333333339</c:v>
                </c:pt>
                <c:pt idx="25">
                  <c:v>-0.60000000000000053</c:v>
                </c:pt>
                <c:pt idx="26">
                  <c:v>-0.46666666666666679</c:v>
                </c:pt>
                <c:pt idx="27">
                  <c:v>-0.33333333333333393</c:v>
                </c:pt>
                <c:pt idx="28">
                  <c:v>-0.20000000000000018</c:v>
                </c:pt>
                <c:pt idx="29">
                  <c:v>-6.6666666666667318E-2</c:v>
                </c:pt>
              </c:numCache>
            </c:numRef>
          </c:xVal>
          <c:yVal>
            <c:numRef>
              <c:f>'Elevator Load'!$CY$20:$CY$49</c:f>
              <c:numCache>
                <c:formatCode>0.00</c:formatCode>
                <c:ptCount val="30"/>
                <c:pt idx="0">
                  <c:v>0.66554883951227206</c:v>
                </c:pt>
                <c:pt idx="1">
                  <c:v>0.69539198887075016</c:v>
                </c:pt>
                <c:pt idx="2">
                  <c:v>0.72245181657649493</c:v>
                </c:pt>
                <c:pt idx="3">
                  <c:v>0.74672832262950706</c:v>
                </c:pt>
                <c:pt idx="4">
                  <c:v>0.76822150702978576</c:v>
                </c:pt>
                <c:pt idx="5">
                  <c:v>0.78693136977733213</c:v>
                </c:pt>
                <c:pt idx="6">
                  <c:v>0.80285791087214475</c:v>
                </c:pt>
                <c:pt idx="7">
                  <c:v>0.81600113031422405</c:v>
                </c:pt>
                <c:pt idx="8">
                  <c:v>0.82636102810357026</c:v>
                </c:pt>
                <c:pt idx="9">
                  <c:v>0.83393760424018482</c:v>
                </c:pt>
                <c:pt idx="10">
                  <c:v>0.83873085872406528</c:v>
                </c:pt>
                <c:pt idx="11">
                  <c:v>0.84074079155521197</c:v>
                </c:pt>
                <c:pt idx="12">
                  <c:v>0.83996740273362713</c:v>
                </c:pt>
                <c:pt idx="13">
                  <c:v>0.83641069225930809</c:v>
                </c:pt>
                <c:pt idx="14">
                  <c:v>0.83007066013225717</c:v>
                </c:pt>
                <c:pt idx="15">
                  <c:v>0.82094730635247204</c:v>
                </c:pt>
                <c:pt idx="16">
                  <c:v>0.80904063091995426</c:v>
                </c:pt>
                <c:pt idx="17">
                  <c:v>0.79435063383470317</c:v>
                </c:pt>
                <c:pt idx="18">
                  <c:v>0.77687731509672042</c:v>
                </c:pt>
                <c:pt idx="19">
                  <c:v>0.75662067470600336</c:v>
                </c:pt>
                <c:pt idx="20">
                  <c:v>0.73358071266255409</c:v>
                </c:pt>
                <c:pt idx="21">
                  <c:v>0.70775742896637028</c:v>
                </c:pt>
                <c:pt idx="22">
                  <c:v>0.67915082361745527</c:v>
                </c:pt>
                <c:pt idx="23">
                  <c:v>0.64776089661580671</c:v>
                </c:pt>
                <c:pt idx="24">
                  <c:v>0.61358764796142395</c:v>
                </c:pt>
                <c:pt idx="25">
                  <c:v>0.57663107765430799</c:v>
                </c:pt>
                <c:pt idx="26">
                  <c:v>0.53689118569446026</c:v>
                </c:pt>
                <c:pt idx="27">
                  <c:v>0.49436797208187855</c:v>
                </c:pt>
                <c:pt idx="28">
                  <c:v>0.44906143681656202</c:v>
                </c:pt>
                <c:pt idx="29">
                  <c:v>0.40097157989851617</c:v>
                </c:pt>
              </c:numCache>
            </c:numRef>
          </c:yVal>
          <c:smooth val="0"/>
          <c:extLst>
            <c:ext xmlns:c16="http://schemas.microsoft.com/office/drawing/2014/chart" uri="{C3380CC4-5D6E-409C-BE32-E72D297353CC}">
              <c16:uniqueId val="{00000001-2EC6-4C77-AA18-28B3F74D0258}"/>
            </c:ext>
          </c:extLst>
        </c:ser>
        <c:dLbls>
          <c:showLegendKey val="0"/>
          <c:showVal val="0"/>
          <c:showCatName val="0"/>
          <c:showSerName val="0"/>
          <c:showPercent val="0"/>
          <c:showBubbleSize val="0"/>
        </c:dLbls>
        <c:axId val="783611360"/>
        <c:axId val="749148952"/>
      </c:scatterChart>
      <c:valAx>
        <c:axId val="78474052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Butt-</a:t>
                </a:r>
              </a:p>
              <a:p>
                <a:pPr>
                  <a:defRPr/>
                </a:pPr>
                <a:r>
                  <a:rPr lang="en-US"/>
                  <a:t>Butt-Line</a:t>
                </a:r>
                <a:r>
                  <a:rPr lang="en-US" baseline="0"/>
                  <a:t> Position (ft)</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37904"/>
        <c:crosses val="autoZero"/>
        <c:crossBetween val="midCat"/>
      </c:valAx>
      <c:valAx>
        <c:axId val="784737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Load per Unit Span (ib/ft)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40528"/>
        <c:crosses val="autoZero"/>
        <c:crossBetween val="midCat"/>
      </c:valAx>
      <c:valAx>
        <c:axId val="749148952"/>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Moment per Unit Span (ftlb/ft)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3611360"/>
        <c:crosses val="max"/>
        <c:crossBetween val="midCat"/>
      </c:valAx>
      <c:valAx>
        <c:axId val="783611360"/>
        <c:scaling>
          <c:orientation val="minMax"/>
        </c:scaling>
        <c:delete val="1"/>
        <c:axPos val="b"/>
        <c:numFmt formatCode="0.000" sourceLinked="1"/>
        <c:majorTickMark val="out"/>
        <c:minorTickMark val="none"/>
        <c:tickLblPos val="nextTo"/>
        <c:crossAx val="749148952"/>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vert="horz"/>
          <a:lstStyle/>
          <a:p>
            <a:pPr>
              <a:defRPr sz="1000" b="0"/>
            </a:pPr>
            <a:r>
              <a:rPr lang="en-US" sz="1000" b="0"/>
              <a:t>Pressure Distribution (lb/sqft)</a:t>
            </a:r>
          </a:p>
        </c:rich>
      </c:tx>
      <c:overlay val="0"/>
      <c:spPr>
        <a:noFill/>
        <a:ln>
          <a:noFill/>
        </a:ln>
        <a:effectLst/>
      </c:spPr>
    </c:title>
    <c:autoTitleDeleted val="0"/>
    <c:view3D>
      <c:rotX val="15"/>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4940400889607619E-3"/>
          <c:y val="0.24573209185442668"/>
          <c:w val="0.94607151893247088"/>
          <c:h val="0.70785199274852384"/>
        </c:manualLayout>
      </c:layout>
      <c:surface3DChart>
        <c:wireframe val="1"/>
        <c:ser>
          <c:idx val="0"/>
          <c:order val="0"/>
          <c:spPr>
            <a:ln w="9525" cap="rnd">
              <a:solidFill>
                <a:schemeClr val="accent5">
                  <a:shade val="41000"/>
                </a:schemeClr>
              </a:solidFill>
              <a:round/>
            </a:ln>
            <a:effectLst/>
          </c:spPr>
          <c:val>
            <c:numRef>
              <c:f>'Elevator Load'!$AS$20:$AS$49</c:f>
              <c:numCache>
                <c:formatCode>0.000</c:formatCode>
                <c:ptCount val="30"/>
                <c:pt idx="0">
                  <c:v>151.94361799307958</c:v>
                </c:pt>
                <c:pt idx="1">
                  <c:v>151.94361799307964</c:v>
                </c:pt>
                <c:pt idx="2">
                  <c:v>151.94361799307956</c:v>
                </c:pt>
                <c:pt idx="3">
                  <c:v>151.94361799307958</c:v>
                </c:pt>
                <c:pt idx="4">
                  <c:v>151.94361799307956</c:v>
                </c:pt>
                <c:pt idx="5">
                  <c:v>151.94361799307964</c:v>
                </c:pt>
                <c:pt idx="6">
                  <c:v>151.94361799307961</c:v>
                </c:pt>
                <c:pt idx="7">
                  <c:v>151.94361799307958</c:v>
                </c:pt>
                <c:pt idx="8">
                  <c:v>151.94361799307958</c:v>
                </c:pt>
                <c:pt idx="9">
                  <c:v>151.94361799307961</c:v>
                </c:pt>
                <c:pt idx="10">
                  <c:v>151.94361799307958</c:v>
                </c:pt>
                <c:pt idx="11">
                  <c:v>151.94361799307958</c:v>
                </c:pt>
                <c:pt idx="12">
                  <c:v>151.94361799307961</c:v>
                </c:pt>
                <c:pt idx="13">
                  <c:v>151.94361799307958</c:v>
                </c:pt>
                <c:pt idx="14">
                  <c:v>151.94361799307953</c:v>
                </c:pt>
                <c:pt idx="15">
                  <c:v>151.94361799307964</c:v>
                </c:pt>
                <c:pt idx="16">
                  <c:v>151.94361799307956</c:v>
                </c:pt>
                <c:pt idx="17">
                  <c:v>151.94361799307956</c:v>
                </c:pt>
                <c:pt idx="18">
                  <c:v>151.94361799307958</c:v>
                </c:pt>
                <c:pt idx="19">
                  <c:v>151.94361799307958</c:v>
                </c:pt>
                <c:pt idx="20">
                  <c:v>151.94361799307956</c:v>
                </c:pt>
                <c:pt idx="21">
                  <c:v>151.94361799307956</c:v>
                </c:pt>
                <c:pt idx="22">
                  <c:v>151.94361799307964</c:v>
                </c:pt>
                <c:pt idx="23">
                  <c:v>151.94361799307964</c:v>
                </c:pt>
                <c:pt idx="24">
                  <c:v>151.94361799307961</c:v>
                </c:pt>
                <c:pt idx="25">
                  <c:v>151.94361799307961</c:v>
                </c:pt>
                <c:pt idx="26">
                  <c:v>151.94361799307956</c:v>
                </c:pt>
                <c:pt idx="27">
                  <c:v>151.94361799307958</c:v>
                </c:pt>
                <c:pt idx="28">
                  <c:v>151.94361799307958</c:v>
                </c:pt>
                <c:pt idx="29">
                  <c:v>151.94361799307958</c:v>
                </c:pt>
              </c:numCache>
            </c:numRef>
          </c:val>
          <c:extLst>
            <c:ext xmlns:c16="http://schemas.microsoft.com/office/drawing/2014/chart" uri="{C3380CC4-5D6E-409C-BE32-E72D297353CC}">
              <c16:uniqueId val="{00000000-AE20-4DD3-913D-10DD0962BB51}"/>
            </c:ext>
          </c:extLst>
        </c:ser>
        <c:ser>
          <c:idx val="1"/>
          <c:order val="1"/>
          <c:spPr>
            <a:ln w="9525" cap="rnd">
              <a:solidFill>
                <a:schemeClr val="accent5">
                  <a:shade val="53000"/>
                </a:schemeClr>
              </a:solidFill>
              <a:round/>
            </a:ln>
            <a:effectLst/>
          </c:spPr>
          <c:val>
            <c:numRef>
              <c:f>'Elevator Load'!$AT$20:$AT$49</c:f>
              <c:numCache>
                <c:formatCode>0.000</c:formatCode>
                <c:ptCount val="30"/>
                <c:pt idx="0">
                  <c:v>121.6390736842105</c:v>
                </c:pt>
                <c:pt idx="1">
                  <c:v>121.63907368421046</c:v>
                </c:pt>
                <c:pt idx="2">
                  <c:v>121.6390736842106</c:v>
                </c:pt>
                <c:pt idx="3">
                  <c:v>121.63907368421052</c:v>
                </c:pt>
                <c:pt idx="4">
                  <c:v>121.6390736842106</c:v>
                </c:pt>
                <c:pt idx="5">
                  <c:v>121.63907368421052</c:v>
                </c:pt>
                <c:pt idx="6">
                  <c:v>121.6390736842105</c:v>
                </c:pt>
                <c:pt idx="7">
                  <c:v>121.63907368421052</c:v>
                </c:pt>
                <c:pt idx="8">
                  <c:v>121.63907368421052</c:v>
                </c:pt>
                <c:pt idx="9">
                  <c:v>121.6390736842105</c:v>
                </c:pt>
                <c:pt idx="10">
                  <c:v>121.6390736842105</c:v>
                </c:pt>
                <c:pt idx="11">
                  <c:v>121.63907368421056</c:v>
                </c:pt>
                <c:pt idx="12">
                  <c:v>121.63907368421052</c:v>
                </c:pt>
                <c:pt idx="13">
                  <c:v>121.6390736842105</c:v>
                </c:pt>
                <c:pt idx="14">
                  <c:v>121.6390736842106</c:v>
                </c:pt>
                <c:pt idx="15">
                  <c:v>121.63907368421046</c:v>
                </c:pt>
                <c:pt idx="16">
                  <c:v>121.6390736842106</c:v>
                </c:pt>
                <c:pt idx="17">
                  <c:v>121.6390736842106</c:v>
                </c:pt>
                <c:pt idx="18">
                  <c:v>121.63907368421052</c:v>
                </c:pt>
                <c:pt idx="19">
                  <c:v>121.63907368421052</c:v>
                </c:pt>
                <c:pt idx="20">
                  <c:v>121.6390736842106</c:v>
                </c:pt>
                <c:pt idx="21">
                  <c:v>121.6390736842106</c:v>
                </c:pt>
                <c:pt idx="22">
                  <c:v>121.63907368421052</c:v>
                </c:pt>
                <c:pt idx="23">
                  <c:v>121.63907368421052</c:v>
                </c:pt>
                <c:pt idx="24">
                  <c:v>121.63907368421046</c:v>
                </c:pt>
                <c:pt idx="25">
                  <c:v>121.6390736842105</c:v>
                </c:pt>
                <c:pt idx="26">
                  <c:v>121.63907368421052</c:v>
                </c:pt>
                <c:pt idx="27">
                  <c:v>121.63907368421052</c:v>
                </c:pt>
                <c:pt idx="28">
                  <c:v>121.63907368421052</c:v>
                </c:pt>
                <c:pt idx="29">
                  <c:v>121.63907368421052</c:v>
                </c:pt>
              </c:numCache>
            </c:numRef>
          </c:val>
          <c:extLst>
            <c:ext xmlns:c16="http://schemas.microsoft.com/office/drawing/2014/chart" uri="{C3380CC4-5D6E-409C-BE32-E72D297353CC}">
              <c16:uniqueId val="{00000001-AE20-4DD3-913D-10DD0962BB51}"/>
            </c:ext>
          </c:extLst>
        </c:ser>
        <c:ser>
          <c:idx val="2"/>
          <c:order val="2"/>
          <c:spPr>
            <a:ln w="9525" cap="rnd">
              <a:solidFill>
                <a:schemeClr val="accent5">
                  <a:shade val="65000"/>
                </a:schemeClr>
              </a:solidFill>
              <a:round/>
            </a:ln>
            <a:effectLst/>
          </c:spPr>
          <c:val>
            <c:numRef>
              <c:f>'Elevator Load'!$AU$20:$AU$49</c:f>
              <c:numCache>
                <c:formatCode>0.000</c:formatCode>
                <c:ptCount val="30"/>
                <c:pt idx="0">
                  <c:v>94.701700965215863</c:v>
                </c:pt>
                <c:pt idx="1">
                  <c:v>94.701700965215849</c:v>
                </c:pt>
                <c:pt idx="2">
                  <c:v>94.701700965215764</c:v>
                </c:pt>
                <c:pt idx="3">
                  <c:v>94.701700965215821</c:v>
                </c:pt>
                <c:pt idx="4">
                  <c:v>94.701700965215778</c:v>
                </c:pt>
                <c:pt idx="5">
                  <c:v>94.701700965215821</c:v>
                </c:pt>
                <c:pt idx="6">
                  <c:v>94.701700965215863</c:v>
                </c:pt>
                <c:pt idx="7">
                  <c:v>94.701700965215849</c:v>
                </c:pt>
                <c:pt idx="8">
                  <c:v>94.701700965215778</c:v>
                </c:pt>
                <c:pt idx="9">
                  <c:v>94.701700965215821</c:v>
                </c:pt>
                <c:pt idx="10">
                  <c:v>94.701700965215863</c:v>
                </c:pt>
                <c:pt idx="11">
                  <c:v>94.701700965215821</c:v>
                </c:pt>
                <c:pt idx="12">
                  <c:v>94.701700965215778</c:v>
                </c:pt>
                <c:pt idx="13">
                  <c:v>94.701700965215863</c:v>
                </c:pt>
                <c:pt idx="14">
                  <c:v>94.701700965215849</c:v>
                </c:pt>
                <c:pt idx="15">
                  <c:v>94.701700965215849</c:v>
                </c:pt>
                <c:pt idx="16">
                  <c:v>94.701700965215764</c:v>
                </c:pt>
                <c:pt idx="17">
                  <c:v>94.701700965215764</c:v>
                </c:pt>
                <c:pt idx="18">
                  <c:v>94.701700965215821</c:v>
                </c:pt>
                <c:pt idx="19">
                  <c:v>94.701700965215821</c:v>
                </c:pt>
                <c:pt idx="20">
                  <c:v>94.701700965215778</c:v>
                </c:pt>
                <c:pt idx="21">
                  <c:v>94.701700965215778</c:v>
                </c:pt>
                <c:pt idx="22">
                  <c:v>94.701700965215821</c:v>
                </c:pt>
                <c:pt idx="23">
                  <c:v>94.701700965215821</c:v>
                </c:pt>
                <c:pt idx="24">
                  <c:v>94.701700965215863</c:v>
                </c:pt>
                <c:pt idx="25">
                  <c:v>94.701700965215863</c:v>
                </c:pt>
                <c:pt idx="26">
                  <c:v>94.701700965215849</c:v>
                </c:pt>
                <c:pt idx="27">
                  <c:v>94.701700965215849</c:v>
                </c:pt>
                <c:pt idx="28">
                  <c:v>94.701700965215778</c:v>
                </c:pt>
                <c:pt idx="29">
                  <c:v>94.701700965215778</c:v>
                </c:pt>
              </c:numCache>
            </c:numRef>
          </c:val>
          <c:extLst>
            <c:ext xmlns:c16="http://schemas.microsoft.com/office/drawing/2014/chart" uri="{C3380CC4-5D6E-409C-BE32-E72D297353CC}">
              <c16:uniqueId val="{00000002-AE20-4DD3-913D-10DD0962BB51}"/>
            </c:ext>
          </c:extLst>
        </c:ser>
        <c:ser>
          <c:idx val="3"/>
          <c:order val="3"/>
          <c:spPr>
            <a:ln w="9525" cap="rnd">
              <a:solidFill>
                <a:schemeClr val="accent5">
                  <a:shade val="76000"/>
                </a:schemeClr>
              </a:solidFill>
              <a:round/>
            </a:ln>
            <a:effectLst/>
          </c:spPr>
          <c:val>
            <c:numRef>
              <c:f>'Elevator Load'!$AV$20:$AV$49</c:f>
              <c:numCache>
                <c:formatCode>0.000</c:formatCode>
                <c:ptCount val="30"/>
                <c:pt idx="0">
                  <c:v>71.131499836095401</c:v>
                </c:pt>
                <c:pt idx="1">
                  <c:v>71.131499836095443</c:v>
                </c:pt>
                <c:pt idx="2">
                  <c:v>71.131499836095458</c:v>
                </c:pt>
                <c:pt idx="3">
                  <c:v>71.131499836095443</c:v>
                </c:pt>
                <c:pt idx="4">
                  <c:v>71.131499836095415</c:v>
                </c:pt>
                <c:pt idx="5">
                  <c:v>71.131499836095443</c:v>
                </c:pt>
                <c:pt idx="6">
                  <c:v>71.131499836095415</c:v>
                </c:pt>
                <c:pt idx="7">
                  <c:v>71.131499836095415</c:v>
                </c:pt>
                <c:pt idx="8">
                  <c:v>71.131499836095443</c:v>
                </c:pt>
                <c:pt idx="9">
                  <c:v>71.131499836095458</c:v>
                </c:pt>
                <c:pt idx="10">
                  <c:v>71.131499836095443</c:v>
                </c:pt>
                <c:pt idx="11">
                  <c:v>71.131499836095415</c:v>
                </c:pt>
                <c:pt idx="12">
                  <c:v>71.131499836095486</c:v>
                </c:pt>
                <c:pt idx="13">
                  <c:v>71.131499836095401</c:v>
                </c:pt>
                <c:pt idx="14">
                  <c:v>71.131499836095443</c:v>
                </c:pt>
                <c:pt idx="15">
                  <c:v>71.131499836095443</c:v>
                </c:pt>
                <c:pt idx="16">
                  <c:v>71.131499836095486</c:v>
                </c:pt>
                <c:pt idx="17">
                  <c:v>71.131499836095458</c:v>
                </c:pt>
                <c:pt idx="18">
                  <c:v>71.131499836095443</c:v>
                </c:pt>
                <c:pt idx="19">
                  <c:v>71.131499836095443</c:v>
                </c:pt>
                <c:pt idx="20">
                  <c:v>71.131499836095415</c:v>
                </c:pt>
                <c:pt idx="21">
                  <c:v>71.131499836095415</c:v>
                </c:pt>
                <c:pt idx="22">
                  <c:v>71.131499836095443</c:v>
                </c:pt>
                <c:pt idx="23">
                  <c:v>71.131499836095443</c:v>
                </c:pt>
                <c:pt idx="24">
                  <c:v>71.131499836095415</c:v>
                </c:pt>
                <c:pt idx="25">
                  <c:v>71.131499836095415</c:v>
                </c:pt>
                <c:pt idx="26">
                  <c:v>71.131499836095415</c:v>
                </c:pt>
                <c:pt idx="27">
                  <c:v>71.131499836095415</c:v>
                </c:pt>
                <c:pt idx="28">
                  <c:v>71.131499836095443</c:v>
                </c:pt>
                <c:pt idx="29">
                  <c:v>71.131499836095443</c:v>
                </c:pt>
              </c:numCache>
            </c:numRef>
          </c:val>
          <c:extLst>
            <c:ext xmlns:c16="http://schemas.microsoft.com/office/drawing/2014/chart" uri="{C3380CC4-5D6E-409C-BE32-E72D297353CC}">
              <c16:uniqueId val="{00000003-AE20-4DD3-913D-10DD0962BB51}"/>
            </c:ext>
          </c:extLst>
        </c:ser>
        <c:ser>
          <c:idx val="4"/>
          <c:order val="4"/>
          <c:spPr>
            <a:ln w="9525" cap="rnd">
              <a:solidFill>
                <a:schemeClr val="accent5">
                  <a:shade val="88000"/>
                </a:schemeClr>
              </a:solidFill>
              <a:round/>
            </a:ln>
            <a:effectLst/>
          </c:spPr>
          <c:val>
            <c:numRef>
              <c:f>'Elevator Load'!$AW$20:$AW$49</c:f>
              <c:numCache>
                <c:formatCode>0.000</c:formatCode>
                <c:ptCount val="30"/>
                <c:pt idx="0">
                  <c:v>50.928470296849419</c:v>
                </c:pt>
                <c:pt idx="1">
                  <c:v>50.928470296849405</c:v>
                </c:pt>
                <c:pt idx="2">
                  <c:v>50.928470296849362</c:v>
                </c:pt>
                <c:pt idx="3">
                  <c:v>50.928470296849405</c:v>
                </c:pt>
                <c:pt idx="4">
                  <c:v>50.928470296849383</c:v>
                </c:pt>
                <c:pt idx="5">
                  <c:v>50.928470296849419</c:v>
                </c:pt>
                <c:pt idx="6">
                  <c:v>50.928470296849405</c:v>
                </c:pt>
                <c:pt idx="7">
                  <c:v>50.928470296849383</c:v>
                </c:pt>
                <c:pt idx="8">
                  <c:v>50.928470296849405</c:v>
                </c:pt>
                <c:pt idx="9">
                  <c:v>50.928470296849405</c:v>
                </c:pt>
                <c:pt idx="10">
                  <c:v>50.928470296849383</c:v>
                </c:pt>
                <c:pt idx="11">
                  <c:v>50.928470296849362</c:v>
                </c:pt>
                <c:pt idx="12">
                  <c:v>50.928470296849419</c:v>
                </c:pt>
                <c:pt idx="13">
                  <c:v>50.928470296849419</c:v>
                </c:pt>
                <c:pt idx="14">
                  <c:v>50.928470296849405</c:v>
                </c:pt>
                <c:pt idx="15">
                  <c:v>50.928470296849405</c:v>
                </c:pt>
                <c:pt idx="16">
                  <c:v>50.928470296849362</c:v>
                </c:pt>
                <c:pt idx="17">
                  <c:v>50.928470296849362</c:v>
                </c:pt>
                <c:pt idx="18">
                  <c:v>50.928470296849405</c:v>
                </c:pt>
                <c:pt idx="19">
                  <c:v>50.928470296849405</c:v>
                </c:pt>
                <c:pt idx="20">
                  <c:v>50.928470296849383</c:v>
                </c:pt>
                <c:pt idx="21">
                  <c:v>50.928470296849383</c:v>
                </c:pt>
                <c:pt idx="22">
                  <c:v>50.928470296849419</c:v>
                </c:pt>
                <c:pt idx="23">
                  <c:v>50.928470296849419</c:v>
                </c:pt>
                <c:pt idx="24">
                  <c:v>50.928470296849405</c:v>
                </c:pt>
                <c:pt idx="25">
                  <c:v>50.928470296849405</c:v>
                </c:pt>
                <c:pt idx="26">
                  <c:v>50.928470296849383</c:v>
                </c:pt>
                <c:pt idx="27">
                  <c:v>50.928470296849383</c:v>
                </c:pt>
                <c:pt idx="28">
                  <c:v>50.928470296849405</c:v>
                </c:pt>
                <c:pt idx="29">
                  <c:v>50.928470296849405</c:v>
                </c:pt>
              </c:numCache>
            </c:numRef>
          </c:val>
          <c:extLst>
            <c:ext xmlns:c16="http://schemas.microsoft.com/office/drawing/2014/chart" uri="{C3380CC4-5D6E-409C-BE32-E72D297353CC}">
              <c16:uniqueId val="{00000004-AE20-4DD3-913D-10DD0962BB51}"/>
            </c:ext>
          </c:extLst>
        </c:ser>
        <c:ser>
          <c:idx val="5"/>
          <c:order val="5"/>
          <c:spPr>
            <a:ln w="9525" cap="rnd">
              <a:solidFill>
                <a:schemeClr val="accent5"/>
              </a:solidFill>
              <a:round/>
            </a:ln>
            <a:effectLst/>
          </c:spPr>
          <c:val>
            <c:numRef>
              <c:f>'Elevator Load'!$AX$20:$AX$49</c:f>
              <c:numCache>
                <c:formatCode>0.000</c:formatCode>
                <c:ptCount val="30"/>
                <c:pt idx="0">
                  <c:v>34.092612347477704</c:v>
                </c:pt>
                <c:pt idx="1">
                  <c:v>34.092612347477683</c:v>
                </c:pt>
                <c:pt idx="2">
                  <c:v>34.092612347477719</c:v>
                </c:pt>
                <c:pt idx="3">
                  <c:v>34.092612347477711</c:v>
                </c:pt>
                <c:pt idx="4">
                  <c:v>34.092612347477697</c:v>
                </c:pt>
                <c:pt idx="5">
                  <c:v>34.092612347477719</c:v>
                </c:pt>
                <c:pt idx="6">
                  <c:v>34.092612347477711</c:v>
                </c:pt>
                <c:pt idx="7">
                  <c:v>34.092612347477704</c:v>
                </c:pt>
                <c:pt idx="8">
                  <c:v>34.092612347477676</c:v>
                </c:pt>
                <c:pt idx="9">
                  <c:v>34.092612347477669</c:v>
                </c:pt>
                <c:pt idx="10">
                  <c:v>34.09261234747774</c:v>
                </c:pt>
                <c:pt idx="11">
                  <c:v>34.092612347477719</c:v>
                </c:pt>
                <c:pt idx="12">
                  <c:v>34.092612347477711</c:v>
                </c:pt>
                <c:pt idx="13">
                  <c:v>34.092612347477704</c:v>
                </c:pt>
                <c:pt idx="14">
                  <c:v>34.092612347477683</c:v>
                </c:pt>
                <c:pt idx="15">
                  <c:v>34.092612347477683</c:v>
                </c:pt>
                <c:pt idx="16">
                  <c:v>34.092612347477719</c:v>
                </c:pt>
                <c:pt idx="17">
                  <c:v>34.092612347477719</c:v>
                </c:pt>
                <c:pt idx="18">
                  <c:v>34.092612347477711</c:v>
                </c:pt>
                <c:pt idx="19">
                  <c:v>34.092612347477711</c:v>
                </c:pt>
                <c:pt idx="20">
                  <c:v>34.092612347477697</c:v>
                </c:pt>
                <c:pt idx="21">
                  <c:v>34.092612347477697</c:v>
                </c:pt>
                <c:pt idx="22">
                  <c:v>34.092612347477719</c:v>
                </c:pt>
                <c:pt idx="23">
                  <c:v>34.092612347477719</c:v>
                </c:pt>
                <c:pt idx="24">
                  <c:v>34.092612347477711</c:v>
                </c:pt>
                <c:pt idx="25">
                  <c:v>34.092612347477711</c:v>
                </c:pt>
                <c:pt idx="26">
                  <c:v>34.092612347477704</c:v>
                </c:pt>
                <c:pt idx="27">
                  <c:v>34.092612347477704</c:v>
                </c:pt>
                <c:pt idx="28">
                  <c:v>34.092612347477676</c:v>
                </c:pt>
                <c:pt idx="29">
                  <c:v>34.092612347477676</c:v>
                </c:pt>
              </c:numCache>
            </c:numRef>
          </c:val>
          <c:extLst>
            <c:ext xmlns:c16="http://schemas.microsoft.com/office/drawing/2014/chart" uri="{C3380CC4-5D6E-409C-BE32-E72D297353CC}">
              <c16:uniqueId val="{00000005-AE20-4DD3-913D-10DD0962BB51}"/>
            </c:ext>
          </c:extLst>
        </c:ser>
        <c:ser>
          <c:idx val="6"/>
          <c:order val="6"/>
          <c:spPr>
            <a:ln w="9525" cap="rnd">
              <a:solidFill>
                <a:schemeClr val="accent5">
                  <a:tint val="89000"/>
                </a:schemeClr>
              </a:solidFill>
              <a:round/>
            </a:ln>
            <a:effectLst/>
          </c:spPr>
          <c:val>
            <c:numRef>
              <c:f>'Elevator Load'!$AY$20:$AY$49</c:f>
              <c:numCache>
                <c:formatCode>0.000</c:formatCode>
                <c:ptCount val="30"/>
                <c:pt idx="0">
                  <c:v>20.623925987980336</c:v>
                </c:pt>
                <c:pt idx="1">
                  <c:v>20.623925987980321</c:v>
                </c:pt>
                <c:pt idx="2">
                  <c:v>20.623925987980357</c:v>
                </c:pt>
                <c:pt idx="3">
                  <c:v>20.623925987980343</c:v>
                </c:pt>
                <c:pt idx="4">
                  <c:v>20.623925987980336</c:v>
                </c:pt>
                <c:pt idx="5">
                  <c:v>20.623925987980321</c:v>
                </c:pt>
                <c:pt idx="6">
                  <c:v>20.623925987980357</c:v>
                </c:pt>
                <c:pt idx="7">
                  <c:v>20.623925987980314</c:v>
                </c:pt>
                <c:pt idx="8">
                  <c:v>20.623925987980371</c:v>
                </c:pt>
                <c:pt idx="9">
                  <c:v>20.623925987980364</c:v>
                </c:pt>
                <c:pt idx="10">
                  <c:v>20.623925987980357</c:v>
                </c:pt>
                <c:pt idx="11">
                  <c:v>20.623925987980343</c:v>
                </c:pt>
                <c:pt idx="12">
                  <c:v>20.623925987980336</c:v>
                </c:pt>
                <c:pt idx="13">
                  <c:v>20.623925987980336</c:v>
                </c:pt>
                <c:pt idx="14">
                  <c:v>20.623925987980321</c:v>
                </c:pt>
                <c:pt idx="15">
                  <c:v>20.623925987980321</c:v>
                </c:pt>
                <c:pt idx="16">
                  <c:v>20.623925987980357</c:v>
                </c:pt>
                <c:pt idx="17">
                  <c:v>20.623925987980357</c:v>
                </c:pt>
                <c:pt idx="18">
                  <c:v>20.62392598798035</c:v>
                </c:pt>
                <c:pt idx="19">
                  <c:v>20.623925987980343</c:v>
                </c:pt>
                <c:pt idx="20">
                  <c:v>20.623925987980336</c:v>
                </c:pt>
                <c:pt idx="21">
                  <c:v>20.623925987980336</c:v>
                </c:pt>
                <c:pt idx="22">
                  <c:v>20.623925987980321</c:v>
                </c:pt>
                <c:pt idx="23">
                  <c:v>20.623925987980321</c:v>
                </c:pt>
                <c:pt idx="24">
                  <c:v>20.623925987980357</c:v>
                </c:pt>
                <c:pt idx="25">
                  <c:v>20.623925987980357</c:v>
                </c:pt>
                <c:pt idx="26">
                  <c:v>20.623925987980314</c:v>
                </c:pt>
                <c:pt idx="27">
                  <c:v>20.623925987980314</c:v>
                </c:pt>
                <c:pt idx="28">
                  <c:v>20.623925987980371</c:v>
                </c:pt>
                <c:pt idx="29">
                  <c:v>20.623925987980371</c:v>
                </c:pt>
              </c:numCache>
            </c:numRef>
          </c:val>
          <c:extLst>
            <c:ext xmlns:c16="http://schemas.microsoft.com/office/drawing/2014/chart" uri="{C3380CC4-5D6E-409C-BE32-E72D297353CC}">
              <c16:uniqueId val="{00000006-AE20-4DD3-913D-10DD0962BB51}"/>
            </c:ext>
          </c:extLst>
        </c:ser>
        <c:ser>
          <c:idx val="7"/>
          <c:order val="7"/>
          <c:spPr>
            <a:ln w="9525" cap="rnd">
              <a:solidFill>
                <a:schemeClr val="accent5">
                  <a:tint val="77000"/>
                </a:schemeClr>
              </a:solidFill>
              <a:round/>
            </a:ln>
            <a:effectLst/>
          </c:spPr>
          <c:val>
            <c:numRef>
              <c:f>'Elevator Load'!$AZ$20:$AZ$49</c:f>
              <c:numCache>
                <c:formatCode>0.000</c:formatCode>
                <c:ptCount val="30"/>
                <c:pt idx="0">
                  <c:v>10.522411218357307</c:v>
                </c:pt>
                <c:pt idx="1">
                  <c:v>10.522411218357336</c:v>
                </c:pt>
                <c:pt idx="2">
                  <c:v>10.522411218357327</c:v>
                </c:pt>
                <c:pt idx="3">
                  <c:v>10.522411218357322</c:v>
                </c:pt>
                <c:pt idx="4">
                  <c:v>10.522411218357318</c:v>
                </c:pt>
                <c:pt idx="5">
                  <c:v>10.522411218357313</c:v>
                </c:pt>
                <c:pt idx="6">
                  <c:v>10.522411218357336</c:v>
                </c:pt>
                <c:pt idx="7">
                  <c:v>10.522411218357332</c:v>
                </c:pt>
                <c:pt idx="8">
                  <c:v>10.522411218357322</c:v>
                </c:pt>
                <c:pt idx="9">
                  <c:v>10.522411218357322</c:v>
                </c:pt>
                <c:pt idx="10">
                  <c:v>10.522411218357318</c:v>
                </c:pt>
                <c:pt idx="11">
                  <c:v>10.522411218357313</c:v>
                </c:pt>
                <c:pt idx="12">
                  <c:v>10.522411218357311</c:v>
                </c:pt>
                <c:pt idx="13">
                  <c:v>10.522411218357307</c:v>
                </c:pt>
                <c:pt idx="14">
                  <c:v>10.522411218357304</c:v>
                </c:pt>
                <c:pt idx="15">
                  <c:v>10.522411218357336</c:v>
                </c:pt>
                <c:pt idx="16">
                  <c:v>10.522411218357332</c:v>
                </c:pt>
                <c:pt idx="17">
                  <c:v>10.522411218357327</c:v>
                </c:pt>
                <c:pt idx="18">
                  <c:v>10.522411218357322</c:v>
                </c:pt>
                <c:pt idx="19">
                  <c:v>10.522411218357322</c:v>
                </c:pt>
                <c:pt idx="20">
                  <c:v>10.522411218357322</c:v>
                </c:pt>
                <c:pt idx="21">
                  <c:v>10.522411218357318</c:v>
                </c:pt>
                <c:pt idx="22">
                  <c:v>10.522411218357313</c:v>
                </c:pt>
                <c:pt idx="23">
                  <c:v>10.522411218357313</c:v>
                </c:pt>
                <c:pt idx="24">
                  <c:v>10.522411218357336</c:v>
                </c:pt>
                <c:pt idx="25">
                  <c:v>10.522411218357336</c:v>
                </c:pt>
                <c:pt idx="26">
                  <c:v>10.522411218357332</c:v>
                </c:pt>
                <c:pt idx="27">
                  <c:v>10.522411218357332</c:v>
                </c:pt>
                <c:pt idx="28">
                  <c:v>10.522411218357322</c:v>
                </c:pt>
                <c:pt idx="29">
                  <c:v>10.522411218357322</c:v>
                </c:pt>
              </c:numCache>
            </c:numRef>
          </c:val>
          <c:extLst>
            <c:ext xmlns:c16="http://schemas.microsoft.com/office/drawing/2014/chart" uri="{C3380CC4-5D6E-409C-BE32-E72D297353CC}">
              <c16:uniqueId val="{00000007-AE20-4DD3-913D-10DD0962BB51}"/>
            </c:ext>
          </c:extLst>
        </c:ser>
        <c:ser>
          <c:idx val="8"/>
          <c:order val="8"/>
          <c:spPr>
            <a:ln w="9525" cap="rnd">
              <a:solidFill>
                <a:schemeClr val="accent5">
                  <a:tint val="65000"/>
                </a:schemeClr>
              </a:solidFill>
              <a:round/>
            </a:ln>
            <a:effectLst/>
          </c:spPr>
          <c:val>
            <c:numRef>
              <c:f>'Elevator Load'!$BA$20:$BA$49</c:f>
              <c:numCache>
                <c:formatCode>0.000</c:formatCode>
                <c:ptCount val="30"/>
                <c:pt idx="0">
                  <c:v>3.7880680386086265</c:v>
                </c:pt>
                <c:pt idx="1">
                  <c:v>3.7880680386086465</c:v>
                </c:pt>
                <c:pt idx="2">
                  <c:v>3.7880680386086425</c:v>
                </c:pt>
                <c:pt idx="3">
                  <c:v>3.7880680386086407</c:v>
                </c:pt>
                <c:pt idx="4">
                  <c:v>3.7880680386086376</c:v>
                </c:pt>
                <c:pt idx="5">
                  <c:v>3.7880680386086354</c:v>
                </c:pt>
                <c:pt idx="6">
                  <c:v>3.7880680386086354</c:v>
                </c:pt>
                <c:pt idx="7">
                  <c:v>3.7880680386086336</c:v>
                </c:pt>
                <c:pt idx="8">
                  <c:v>3.7880680386086305</c:v>
                </c:pt>
                <c:pt idx="9">
                  <c:v>3.7880680386086305</c:v>
                </c:pt>
                <c:pt idx="10">
                  <c:v>3.7880680386086296</c:v>
                </c:pt>
                <c:pt idx="11">
                  <c:v>3.7880680386086283</c:v>
                </c:pt>
                <c:pt idx="12">
                  <c:v>3.7880680386086505</c:v>
                </c:pt>
                <c:pt idx="13">
                  <c:v>3.7880680386086265</c:v>
                </c:pt>
                <c:pt idx="14">
                  <c:v>3.7880680386086465</c:v>
                </c:pt>
                <c:pt idx="15">
                  <c:v>3.7880680386086465</c:v>
                </c:pt>
                <c:pt idx="16">
                  <c:v>3.7880680386086425</c:v>
                </c:pt>
                <c:pt idx="17">
                  <c:v>3.7880680386086425</c:v>
                </c:pt>
                <c:pt idx="18">
                  <c:v>3.7880680386086407</c:v>
                </c:pt>
                <c:pt idx="19">
                  <c:v>3.7880680386086407</c:v>
                </c:pt>
                <c:pt idx="20">
                  <c:v>3.7880680386086394</c:v>
                </c:pt>
                <c:pt idx="21">
                  <c:v>3.7880680386086376</c:v>
                </c:pt>
                <c:pt idx="22">
                  <c:v>3.7880680386086363</c:v>
                </c:pt>
                <c:pt idx="23">
                  <c:v>3.7880680386086354</c:v>
                </c:pt>
                <c:pt idx="24">
                  <c:v>3.7880680386086354</c:v>
                </c:pt>
                <c:pt idx="25">
                  <c:v>3.7880680386086354</c:v>
                </c:pt>
                <c:pt idx="26">
                  <c:v>3.7880680386086336</c:v>
                </c:pt>
                <c:pt idx="27">
                  <c:v>3.7880680386086336</c:v>
                </c:pt>
                <c:pt idx="28">
                  <c:v>3.7880680386086305</c:v>
                </c:pt>
                <c:pt idx="29">
                  <c:v>3.7880680386086305</c:v>
                </c:pt>
              </c:numCache>
            </c:numRef>
          </c:val>
          <c:extLst>
            <c:ext xmlns:c16="http://schemas.microsoft.com/office/drawing/2014/chart" uri="{C3380CC4-5D6E-409C-BE32-E72D297353CC}">
              <c16:uniqueId val="{00000008-AE20-4DD3-913D-10DD0962BB51}"/>
            </c:ext>
          </c:extLst>
        </c:ser>
        <c:ser>
          <c:idx val="9"/>
          <c:order val="9"/>
          <c:spPr>
            <a:ln w="9525" cap="rnd">
              <a:solidFill>
                <a:schemeClr val="accent5">
                  <a:tint val="54000"/>
                </a:schemeClr>
              </a:solidFill>
              <a:round/>
            </a:ln>
            <a:effectLst/>
          </c:spPr>
          <c:val>
            <c:numRef>
              <c:f>'Elevator Load'!$BB$20:$BB$49</c:f>
              <c:numCache>
                <c:formatCode>0.000</c:formatCode>
                <c:ptCount val="30"/>
                <c:pt idx="0">
                  <c:v>0.42089644873429666</c:v>
                </c:pt>
                <c:pt idx="1">
                  <c:v>0.42089644873429616</c:v>
                </c:pt>
                <c:pt idx="2">
                  <c:v>0.4208964487342956</c:v>
                </c:pt>
                <c:pt idx="3">
                  <c:v>0.42089644873429521</c:v>
                </c:pt>
                <c:pt idx="4">
                  <c:v>0.42089644873429499</c:v>
                </c:pt>
                <c:pt idx="5">
                  <c:v>0.42089644873428939</c:v>
                </c:pt>
                <c:pt idx="6">
                  <c:v>0.42089644873428939</c:v>
                </c:pt>
                <c:pt idx="7">
                  <c:v>0.42089644873428939</c:v>
                </c:pt>
                <c:pt idx="8">
                  <c:v>0.42089644873429843</c:v>
                </c:pt>
                <c:pt idx="9">
                  <c:v>0.42089644873429805</c:v>
                </c:pt>
                <c:pt idx="10">
                  <c:v>0.42089644873429771</c:v>
                </c:pt>
                <c:pt idx="11">
                  <c:v>0.42089644873429727</c:v>
                </c:pt>
                <c:pt idx="12">
                  <c:v>0.42089644873429699</c:v>
                </c:pt>
                <c:pt idx="13">
                  <c:v>0.42089644873429677</c:v>
                </c:pt>
                <c:pt idx="14">
                  <c:v>0.42089644873429638</c:v>
                </c:pt>
                <c:pt idx="15">
                  <c:v>0.42089644873429632</c:v>
                </c:pt>
                <c:pt idx="16">
                  <c:v>0.42089644873429582</c:v>
                </c:pt>
                <c:pt idx="17">
                  <c:v>0.42089644873429571</c:v>
                </c:pt>
                <c:pt idx="18">
                  <c:v>0.42089644873429549</c:v>
                </c:pt>
                <c:pt idx="19">
                  <c:v>0.42089644873429538</c:v>
                </c:pt>
                <c:pt idx="20">
                  <c:v>0.42089644873429516</c:v>
                </c:pt>
                <c:pt idx="21">
                  <c:v>0.42089644873429499</c:v>
                </c:pt>
                <c:pt idx="22">
                  <c:v>0.42089644873428927</c:v>
                </c:pt>
                <c:pt idx="23">
                  <c:v>0.42089644873428927</c:v>
                </c:pt>
                <c:pt idx="24">
                  <c:v>0.42089644873428927</c:v>
                </c:pt>
                <c:pt idx="25">
                  <c:v>0.42089644873428939</c:v>
                </c:pt>
                <c:pt idx="26">
                  <c:v>0.4208964487342991</c:v>
                </c:pt>
                <c:pt idx="27">
                  <c:v>0.42089644873429899</c:v>
                </c:pt>
                <c:pt idx="28">
                  <c:v>0.42089644873429849</c:v>
                </c:pt>
                <c:pt idx="29">
                  <c:v>0.42089644873429843</c:v>
                </c:pt>
              </c:numCache>
            </c:numRef>
          </c:val>
          <c:extLst>
            <c:ext xmlns:c16="http://schemas.microsoft.com/office/drawing/2014/chart" uri="{C3380CC4-5D6E-409C-BE32-E72D297353CC}">
              <c16:uniqueId val="{00000009-AE20-4DD3-913D-10DD0962BB51}"/>
            </c:ext>
          </c:extLst>
        </c:ser>
        <c:ser>
          <c:idx val="10"/>
          <c:order val="10"/>
          <c:spPr>
            <a:ln w="9525" cap="rnd">
              <a:solidFill>
                <a:schemeClr val="accent5">
                  <a:tint val="42000"/>
                </a:schemeClr>
              </a:solidFill>
              <a:round/>
            </a:ln>
            <a:effectLst/>
          </c:spPr>
          <c:val>
            <c:numRef>
              <c:f>'Elevator Load'!$BC$20:$BC$49</c:f>
              <c:numCache>
                <c:formatCode>0.000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extLst>
            <c:ext xmlns:c16="http://schemas.microsoft.com/office/drawing/2014/chart" uri="{C3380CC4-5D6E-409C-BE32-E72D297353CC}">
              <c16:uniqueId val="{0000000A-AE20-4DD3-913D-10DD0962BB51}"/>
            </c:ext>
          </c:extLst>
        </c:ser>
        <c:bandFmts>
          <c:bandFmt>
            <c:idx val="0"/>
            <c:spPr>
              <a:ln w="9525" cap="rnd">
                <a:solidFill>
                  <a:schemeClr val="accent5">
                    <a:shade val="58000"/>
                  </a:schemeClr>
                </a:solidFill>
                <a:round/>
              </a:ln>
              <a:effectLst/>
            </c:spPr>
          </c:bandFmt>
          <c:bandFmt>
            <c:idx val="1"/>
            <c:spPr>
              <a:ln w="9525" cap="rnd">
                <a:solidFill>
                  <a:schemeClr val="accent5">
                    <a:shade val="86000"/>
                  </a:schemeClr>
                </a:solidFill>
                <a:round/>
              </a:ln>
              <a:effectLst/>
            </c:spPr>
          </c:bandFmt>
          <c:bandFmt>
            <c:idx val="2"/>
            <c:spPr>
              <a:ln w="9525" cap="rnd">
                <a:solidFill>
                  <a:schemeClr val="accent5">
                    <a:tint val="86000"/>
                  </a:schemeClr>
                </a:solidFill>
                <a:round/>
              </a:ln>
              <a:effectLst/>
            </c:spPr>
          </c:bandFmt>
          <c:bandFmt>
            <c:idx val="3"/>
            <c:spPr>
              <a:ln w="9525" cap="rnd">
                <a:solidFill>
                  <a:schemeClr val="accent5">
                    <a:tint val="58000"/>
                  </a:schemeClr>
                </a:solidFill>
                <a:round/>
              </a:ln>
              <a:effectLst/>
            </c:spPr>
          </c:bandFmt>
          <c:bandFmt>
            <c:idx val="4"/>
            <c:spPr>
              <a:ln w="9525" cap="rnd">
                <a:solidFill>
                  <a:schemeClr val="accent5">
                    <a:tint val="30000"/>
                  </a:schemeClr>
                </a:solidFill>
                <a:round/>
              </a:ln>
              <a:effectLst/>
            </c:spPr>
          </c:bandFmt>
          <c:bandFmt>
            <c:idx val="5"/>
            <c:spPr>
              <a:ln w="9525" cap="rnd">
                <a:solidFill>
                  <a:schemeClr val="accent5">
                    <a:tint val="2000"/>
                  </a:schemeClr>
                </a:solidFill>
                <a:round/>
              </a:ln>
              <a:effectLst/>
            </c:spPr>
          </c:bandFmt>
          <c:bandFmt>
            <c:idx val="6"/>
            <c:spPr>
              <a:ln w="9525" cap="rnd">
                <a:solidFill>
                  <a:schemeClr val="accent5">
                    <a:tint val="74000"/>
                  </a:schemeClr>
                </a:solidFill>
                <a:round/>
              </a:ln>
              <a:effectLst/>
            </c:spPr>
          </c:bandFmt>
          <c:bandFmt>
            <c:idx val="7"/>
            <c:spPr>
              <a:ln w="9525" cap="rnd">
                <a:solidFill>
                  <a:schemeClr val="accent5">
                    <a:tint val="46000"/>
                  </a:schemeClr>
                </a:solidFill>
                <a:round/>
              </a:ln>
              <a:effectLst/>
            </c:spPr>
          </c:bandFmt>
          <c:bandFmt>
            <c:idx val="8"/>
            <c:spPr>
              <a:ln w="9525" cap="rnd">
                <a:solidFill>
                  <a:schemeClr val="accent5">
                    <a:tint val="18000"/>
                  </a:schemeClr>
                </a:solidFill>
                <a:round/>
              </a:ln>
              <a:effectLst/>
            </c:spPr>
          </c:bandFmt>
          <c:bandFmt>
            <c:idx val="9"/>
            <c:spPr>
              <a:ln w="9525" cap="rnd">
                <a:solidFill>
                  <a:schemeClr val="accent5">
                    <a:tint val="90000"/>
                  </a:schemeClr>
                </a:solidFill>
                <a:round/>
              </a:ln>
              <a:effectLst/>
            </c:spPr>
          </c:bandFmt>
          <c:bandFmt>
            <c:idx val="10"/>
            <c:spPr>
              <a:ln w="9525" cap="rnd">
                <a:solidFill>
                  <a:schemeClr val="accent5">
                    <a:tint val="62000"/>
                  </a:schemeClr>
                </a:solidFill>
                <a:round/>
              </a:ln>
              <a:effectLst/>
            </c:spPr>
          </c:bandFmt>
          <c:bandFmt>
            <c:idx val="11"/>
            <c:spPr>
              <a:ln w="9525" cap="rnd">
                <a:solidFill>
                  <a:schemeClr val="accent5">
                    <a:tint val="34000"/>
                  </a:schemeClr>
                </a:solidFill>
                <a:round/>
              </a:ln>
              <a:effectLst/>
            </c:spPr>
          </c:bandFmt>
          <c:bandFmt>
            <c:idx val="12"/>
            <c:spPr>
              <a:ln w="9525" cap="rnd">
                <a:solidFill>
                  <a:schemeClr val="accent5">
                    <a:tint val="6000"/>
                  </a:schemeClr>
                </a:solidFill>
                <a:round/>
              </a:ln>
              <a:effectLst/>
            </c:spPr>
          </c:bandFmt>
          <c:bandFmt>
            <c:idx val="13"/>
            <c:spPr>
              <a:ln w="9525" cap="rnd">
                <a:solidFill>
                  <a:schemeClr val="accent5">
                    <a:tint val="78000"/>
                  </a:schemeClr>
                </a:solidFill>
                <a:round/>
              </a:ln>
              <a:effectLst/>
            </c:spPr>
          </c:bandFmt>
          <c:bandFmt>
            <c:idx val="14"/>
            <c:spPr>
              <a:ln w="9525" cap="rnd">
                <a:solidFill>
                  <a:schemeClr val="accent5">
                    <a:tint val="50000"/>
                  </a:schemeClr>
                </a:solidFill>
                <a:round/>
              </a:ln>
              <a:effectLst/>
            </c:spPr>
          </c:bandFmt>
        </c:bandFmts>
        <c:axId val="749150592"/>
        <c:axId val="749154856"/>
        <c:axId val="747010864"/>
      </c:surface3DChart>
      <c:catAx>
        <c:axId val="749150592"/>
        <c:scaling>
          <c:orientation val="minMax"/>
        </c:scaling>
        <c:delete val="1"/>
        <c:axPos val="b"/>
        <c:majorTickMark val="out"/>
        <c:minorTickMark val="none"/>
        <c:tickLblPos val="nextTo"/>
        <c:crossAx val="749154856"/>
        <c:crosses val="autoZero"/>
        <c:auto val="1"/>
        <c:lblAlgn val="ctr"/>
        <c:lblOffset val="100"/>
        <c:noMultiLvlLbl val="0"/>
      </c:catAx>
      <c:valAx>
        <c:axId val="749154856"/>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en-US"/>
          </a:p>
        </c:txPr>
        <c:crossAx val="749150592"/>
        <c:crosses val="autoZero"/>
        <c:crossBetween val="midCat"/>
      </c:valAx>
      <c:serAx>
        <c:axId val="747010864"/>
        <c:scaling>
          <c:orientation val="minMax"/>
        </c:scaling>
        <c:delete val="1"/>
        <c:axPos val="b"/>
        <c:majorTickMark val="out"/>
        <c:minorTickMark val="none"/>
        <c:tickLblPos val="nextTo"/>
        <c:crossAx val="749154856"/>
        <c:crosses val="autoZero"/>
      </c:serAx>
      <c:spPr>
        <a:noFill/>
        <a:ln>
          <a:noFill/>
        </a:ln>
        <a:effectLst/>
      </c:spPr>
    </c:plotArea>
    <c:plotVisOnly val="1"/>
    <c:dispBlanksAs val="zero"/>
    <c:showDLblsOverMax val="0"/>
  </c:chart>
  <c:spPr>
    <a:no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image" Target="../media/image1.png"/><Relationship Id="rId3" Type="http://schemas.openxmlformats.org/officeDocument/2006/relationships/image" Target="../media/image6.png"/><Relationship Id="rId7" Type="http://schemas.openxmlformats.org/officeDocument/2006/relationships/chart" Target="../charts/chart4.xml"/><Relationship Id="rId12" Type="http://schemas.openxmlformats.org/officeDocument/2006/relationships/hyperlink" Target="http://www.abbottaerospace.com/" TargetMode="External"/><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chart" Target="../charts/chart3.xml"/><Relationship Id="rId11" Type="http://schemas.openxmlformats.org/officeDocument/2006/relationships/chart" Target="../charts/chart6.xml"/><Relationship Id="rId5" Type="http://schemas.openxmlformats.org/officeDocument/2006/relationships/chart" Target="../charts/chart2.xml"/><Relationship Id="rId15" Type="http://schemas.openxmlformats.org/officeDocument/2006/relationships/image" Target="../media/image2.gif"/><Relationship Id="rId10" Type="http://schemas.openxmlformats.org/officeDocument/2006/relationships/chart" Target="../charts/chart5.xml"/><Relationship Id="rId4" Type="http://schemas.openxmlformats.org/officeDocument/2006/relationships/chart" Target="../charts/chart1.xml"/><Relationship Id="rId9" Type="http://schemas.openxmlformats.org/officeDocument/2006/relationships/image" Target="../media/image8.png"/><Relationship Id="rId14" Type="http://schemas.openxmlformats.org/officeDocument/2006/relationships/hyperlink" Target="http://www.abbottaerospace.com/technical-library/donate/"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chart" Target="../charts/chart7.xml"/><Relationship Id="rId5" Type="http://schemas.openxmlformats.org/officeDocument/2006/relationships/image" Target="../media/image4.png"/><Relationship Id="rId4" Type="http://schemas.openxmlformats.org/officeDocument/2006/relationships/image" Target="../media/image2.gif"/></Relationships>
</file>

<file path=xl/drawings/_rels/drawing6.xml.rels><?xml version="1.0" encoding="UTF-8" standalone="yes"?>
<Relationships xmlns="http://schemas.openxmlformats.org/package/2006/relationships"><Relationship Id="rId8" Type="http://schemas.openxmlformats.org/officeDocument/2006/relationships/chart" Target="../charts/chart10.xml"/><Relationship Id="rId3" Type="http://schemas.openxmlformats.org/officeDocument/2006/relationships/hyperlink" Target="http://www.abbottaerospace.com/technical-library/donate/" TargetMode="External"/><Relationship Id="rId7" Type="http://schemas.openxmlformats.org/officeDocument/2006/relationships/chart" Target="../charts/chart9.xm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chart" Target="../charts/chart8.xml"/><Relationship Id="rId5" Type="http://schemas.openxmlformats.org/officeDocument/2006/relationships/image" Target="../media/image4.png"/><Relationship Id="rId4" Type="http://schemas.openxmlformats.org/officeDocument/2006/relationships/image" Target="../media/image2.gif"/><Relationship Id="rId9"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chart" Target="../charts/chart12.xml"/><Relationship Id="rId5" Type="http://schemas.openxmlformats.org/officeDocument/2006/relationships/image" Target="../media/image4.png"/><Relationship Id="rId4" Type="http://schemas.openxmlformats.org/officeDocument/2006/relationships/image" Target="../media/image2.gif"/></Relationships>
</file>

<file path=xl/drawings/_rels/drawing8.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7" Type="http://schemas.openxmlformats.org/officeDocument/2006/relationships/chart" Target="../charts/chart14.xm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chart" Target="../charts/chart13.xml"/><Relationship Id="rId5" Type="http://schemas.openxmlformats.org/officeDocument/2006/relationships/image" Target="../media/image4.png"/><Relationship Id="rId4" Type="http://schemas.openxmlformats.org/officeDocument/2006/relationships/image" Target="../media/image2.gif"/></Relationships>
</file>

<file path=xl/drawings/_rels/drawing9.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7" Type="http://schemas.openxmlformats.org/officeDocument/2006/relationships/chart" Target="../charts/chart16.xm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chart" Target="../charts/chart15.xml"/><Relationship Id="rId5" Type="http://schemas.openxmlformats.org/officeDocument/2006/relationships/image" Target="../media/image4.png"/><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43</xdr:col>
      <xdr:colOff>585106</xdr:colOff>
      <xdr:row>80</xdr:row>
      <xdr:rowOff>65314</xdr:rowOff>
    </xdr:from>
    <xdr:to>
      <xdr:col>51</xdr:col>
      <xdr:colOff>203704</xdr:colOff>
      <xdr:row>105</xdr:row>
      <xdr:rowOff>87085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4664306" y="13971814"/>
          <a:ext cx="4647798" cy="4308021"/>
        </a:xfrm>
        <a:prstGeom prst="rect">
          <a:avLst/>
        </a:prstGeom>
      </xdr:spPr>
    </xdr:pic>
    <xdr:clientData/>
  </xdr:twoCellAnchor>
  <xdr:twoCellAnchor editAs="oneCell">
    <xdr:from>
      <xdr:col>39</xdr:col>
      <xdr:colOff>0</xdr:colOff>
      <xdr:row>15</xdr:row>
      <xdr:rowOff>57150</xdr:rowOff>
    </xdr:from>
    <xdr:to>
      <xdr:col>47</xdr:col>
      <xdr:colOff>7543</xdr:colOff>
      <xdr:row>29</xdr:row>
      <xdr:rowOff>45027</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a:stretch>
          <a:fillRect/>
        </a:stretch>
      </xdr:blipFill>
      <xdr:spPr>
        <a:xfrm>
          <a:off x="21564600" y="2647950"/>
          <a:ext cx="5036743" cy="2423556"/>
        </a:xfrm>
        <a:prstGeom prst="rect">
          <a:avLst/>
        </a:prstGeom>
      </xdr:spPr>
    </xdr:pic>
    <xdr:clientData/>
  </xdr:twoCellAnchor>
  <xdr:twoCellAnchor editAs="oneCell">
    <xdr:from>
      <xdr:col>40</xdr:col>
      <xdr:colOff>586673</xdr:colOff>
      <xdr:row>44</xdr:row>
      <xdr:rowOff>170140</xdr:rowOff>
    </xdr:from>
    <xdr:to>
      <xdr:col>50</xdr:col>
      <xdr:colOff>158431</xdr:colOff>
      <xdr:row>65</xdr:row>
      <xdr:rowOff>63941</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3"/>
        <a:stretch>
          <a:fillRect/>
        </a:stretch>
      </xdr:blipFill>
      <xdr:spPr>
        <a:xfrm>
          <a:off x="22779923" y="7828240"/>
          <a:ext cx="5858258" cy="3551401"/>
        </a:xfrm>
        <a:prstGeom prst="rect">
          <a:avLst/>
        </a:prstGeom>
      </xdr:spPr>
    </xdr:pic>
    <xdr:clientData/>
  </xdr:twoCellAnchor>
  <xdr:twoCellAnchor>
    <xdr:from>
      <xdr:col>1</xdr:col>
      <xdr:colOff>0</xdr:colOff>
      <xdr:row>77</xdr:row>
      <xdr:rowOff>0</xdr:rowOff>
    </xdr:from>
    <xdr:to>
      <xdr:col>10</xdr:col>
      <xdr:colOff>0</xdr:colOff>
      <xdr:row>96</xdr:row>
      <xdr:rowOff>0</xdr:rowOff>
    </xdr:to>
    <xdr:graphicFrame macro="">
      <xdr:nvGraphicFramePr>
        <xdr:cNvPr id="14" name="Chart 13">
          <a:extLst>
            <a:ext uri="{FF2B5EF4-FFF2-40B4-BE49-F238E27FC236}">
              <a16:creationId xmlns:a16="http://schemas.microsoft.com/office/drawing/2014/main" id="{00000000-0008-0000-01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1</xdr:col>
      <xdr:colOff>375138</xdr:colOff>
      <xdr:row>83</xdr:row>
      <xdr:rowOff>93784</xdr:rowOff>
    </xdr:from>
    <xdr:ext cx="363241" cy="264560"/>
    <xdr:sp macro="" textlink="">
      <xdr:nvSpPr>
        <xdr:cNvPr id="15" name="TextBox 14">
          <a:extLst>
            <a:ext uri="{FF2B5EF4-FFF2-40B4-BE49-F238E27FC236}">
              <a16:creationId xmlns:a16="http://schemas.microsoft.com/office/drawing/2014/main" id="{00000000-0008-0000-0100-00000F000000}"/>
            </a:ext>
          </a:extLst>
        </xdr:cNvPr>
        <xdr:cNvSpPr txBox="1"/>
      </xdr:nvSpPr>
      <xdr:spPr>
        <a:xfrm>
          <a:off x="1002323" y="14864861"/>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1.0</a:t>
          </a:r>
        </a:p>
      </xdr:txBody>
    </xdr:sp>
    <xdr:clientData/>
  </xdr:oneCellAnchor>
  <xdr:oneCellAnchor>
    <xdr:from>
      <xdr:col>1</xdr:col>
      <xdr:colOff>375138</xdr:colOff>
      <xdr:row>82</xdr:row>
      <xdr:rowOff>76200</xdr:rowOff>
    </xdr:from>
    <xdr:ext cx="363241" cy="264560"/>
    <xdr:sp macro="" textlink="">
      <xdr:nvSpPr>
        <xdr:cNvPr id="16" name="TextBox 15">
          <a:extLst>
            <a:ext uri="{FF2B5EF4-FFF2-40B4-BE49-F238E27FC236}">
              <a16:creationId xmlns:a16="http://schemas.microsoft.com/office/drawing/2014/main" id="{00000000-0008-0000-0100-000010000000}"/>
            </a:ext>
          </a:extLst>
        </xdr:cNvPr>
        <xdr:cNvSpPr txBox="1"/>
      </xdr:nvSpPr>
      <xdr:spPr>
        <a:xfrm>
          <a:off x="1002323" y="14671431"/>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1.1</a:t>
          </a:r>
        </a:p>
      </xdr:txBody>
    </xdr:sp>
    <xdr:clientData/>
  </xdr:oneCellAnchor>
  <xdr:oneCellAnchor>
    <xdr:from>
      <xdr:col>1</xdr:col>
      <xdr:colOff>375138</xdr:colOff>
      <xdr:row>81</xdr:row>
      <xdr:rowOff>64477</xdr:rowOff>
    </xdr:from>
    <xdr:ext cx="363241" cy="264560"/>
    <xdr:sp macro="" textlink="">
      <xdr:nvSpPr>
        <xdr:cNvPr id="17" name="TextBox 16">
          <a:extLst>
            <a:ext uri="{FF2B5EF4-FFF2-40B4-BE49-F238E27FC236}">
              <a16:creationId xmlns:a16="http://schemas.microsoft.com/office/drawing/2014/main" id="{00000000-0008-0000-0100-000011000000}"/>
            </a:ext>
          </a:extLst>
        </xdr:cNvPr>
        <xdr:cNvSpPr txBox="1"/>
      </xdr:nvSpPr>
      <xdr:spPr>
        <a:xfrm>
          <a:off x="1002323" y="14483862"/>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1.2</a:t>
          </a:r>
        </a:p>
      </xdr:txBody>
    </xdr:sp>
    <xdr:clientData/>
  </xdr:oneCellAnchor>
  <xdr:oneCellAnchor>
    <xdr:from>
      <xdr:col>1</xdr:col>
      <xdr:colOff>375138</xdr:colOff>
      <xdr:row>80</xdr:row>
      <xdr:rowOff>35170</xdr:rowOff>
    </xdr:from>
    <xdr:ext cx="363241" cy="264560"/>
    <xdr:sp macro="" textlink="">
      <xdr:nvSpPr>
        <xdr:cNvPr id="18" name="TextBox 17">
          <a:extLst>
            <a:ext uri="{FF2B5EF4-FFF2-40B4-BE49-F238E27FC236}">
              <a16:creationId xmlns:a16="http://schemas.microsoft.com/office/drawing/2014/main" id="{00000000-0008-0000-0100-000012000000}"/>
            </a:ext>
          </a:extLst>
        </xdr:cNvPr>
        <xdr:cNvSpPr txBox="1"/>
      </xdr:nvSpPr>
      <xdr:spPr>
        <a:xfrm>
          <a:off x="1002323" y="14278708"/>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1.3</a:t>
          </a:r>
        </a:p>
      </xdr:txBody>
    </xdr:sp>
    <xdr:clientData/>
  </xdr:oneCellAnchor>
  <xdr:oneCellAnchor>
    <xdr:from>
      <xdr:col>1</xdr:col>
      <xdr:colOff>375138</xdr:colOff>
      <xdr:row>79</xdr:row>
      <xdr:rowOff>23447</xdr:rowOff>
    </xdr:from>
    <xdr:ext cx="363241" cy="264560"/>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1002323" y="14091139"/>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1.4</a:t>
          </a:r>
        </a:p>
      </xdr:txBody>
    </xdr:sp>
    <xdr:clientData/>
  </xdr:oneCellAnchor>
  <xdr:oneCellAnchor>
    <xdr:from>
      <xdr:col>1</xdr:col>
      <xdr:colOff>375138</xdr:colOff>
      <xdr:row>77</xdr:row>
      <xdr:rowOff>152400</xdr:rowOff>
    </xdr:from>
    <xdr:ext cx="363241" cy="264560"/>
    <xdr:sp macro="" textlink="">
      <xdr:nvSpPr>
        <xdr:cNvPr id="20" name="TextBox 19">
          <a:extLst>
            <a:ext uri="{FF2B5EF4-FFF2-40B4-BE49-F238E27FC236}">
              <a16:creationId xmlns:a16="http://schemas.microsoft.com/office/drawing/2014/main" id="{00000000-0008-0000-0100-000014000000}"/>
            </a:ext>
          </a:extLst>
        </xdr:cNvPr>
        <xdr:cNvSpPr txBox="1"/>
      </xdr:nvSpPr>
      <xdr:spPr>
        <a:xfrm>
          <a:off x="1002323" y="13868400"/>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1.5</a:t>
          </a:r>
        </a:p>
      </xdr:txBody>
    </xdr:sp>
    <xdr:clientData/>
  </xdr:oneCellAnchor>
  <xdr:twoCellAnchor>
    <xdr:from>
      <xdr:col>1</xdr:col>
      <xdr:colOff>0</xdr:colOff>
      <xdr:row>129</xdr:row>
      <xdr:rowOff>0</xdr:rowOff>
    </xdr:from>
    <xdr:to>
      <xdr:col>10</xdr:col>
      <xdr:colOff>0</xdr:colOff>
      <xdr:row>148</xdr:row>
      <xdr:rowOff>0</xdr:rowOff>
    </xdr:to>
    <xdr:graphicFrame macro="">
      <xdr:nvGraphicFramePr>
        <xdr:cNvPr id="23" name="Chart 22">
          <a:extLst>
            <a:ext uri="{FF2B5EF4-FFF2-40B4-BE49-F238E27FC236}">
              <a16:creationId xmlns:a16="http://schemas.microsoft.com/office/drawing/2014/main" id="{00000000-0008-0000-01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375138</xdr:colOff>
      <xdr:row>130</xdr:row>
      <xdr:rowOff>39187</xdr:rowOff>
    </xdr:from>
    <xdr:to>
      <xdr:col>2</xdr:col>
      <xdr:colOff>98299</xdr:colOff>
      <xdr:row>137</xdr:row>
      <xdr:rowOff>153689</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988051" y="21847296"/>
          <a:ext cx="344357" cy="1274067"/>
          <a:chOff x="1002155" y="22964501"/>
          <a:chExt cx="363241" cy="1250972"/>
        </a:xfrm>
      </xdr:grpSpPr>
      <xdr:sp macro="" textlink="">
        <xdr:nvSpPr>
          <xdr:cNvPr id="24" name="TextBox 23">
            <a:extLst>
              <a:ext uri="{FF2B5EF4-FFF2-40B4-BE49-F238E27FC236}">
                <a16:creationId xmlns:a16="http://schemas.microsoft.com/office/drawing/2014/main" id="{00000000-0008-0000-0100-000018000000}"/>
              </a:ext>
            </a:extLst>
          </xdr:cNvPr>
          <xdr:cNvSpPr txBox="1"/>
        </xdr:nvSpPr>
        <xdr:spPr>
          <a:xfrm>
            <a:off x="1002155" y="23950913"/>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1.0</a:t>
            </a:r>
          </a:p>
        </xdr:txBody>
      </xdr:sp>
      <xdr:sp macro="" textlink="">
        <xdr:nvSpPr>
          <xdr:cNvPr id="25" name="TextBox 24">
            <a:extLst>
              <a:ext uri="{FF2B5EF4-FFF2-40B4-BE49-F238E27FC236}">
                <a16:creationId xmlns:a16="http://schemas.microsoft.com/office/drawing/2014/main" id="{00000000-0008-0000-0100-000019000000}"/>
              </a:ext>
            </a:extLst>
          </xdr:cNvPr>
          <xdr:cNvSpPr txBox="1"/>
        </xdr:nvSpPr>
        <xdr:spPr>
          <a:xfrm>
            <a:off x="1002155" y="23759158"/>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1.1</a:t>
            </a:r>
          </a:p>
        </xdr:txBody>
      </xdr:sp>
      <xdr:sp macro="" textlink="">
        <xdr:nvSpPr>
          <xdr:cNvPr id="26" name="TextBox 25">
            <a:extLst>
              <a:ext uri="{FF2B5EF4-FFF2-40B4-BE49-F238E27FC236}">
                <a16:creationId xmlns:a16="http://schemas.microsoft.com/office/drawing/2014/main" id="{00000000-0008-0000-0100-00001A000000}"/>
              </a:ext>
            </a:extLst>
          </xdr:cNvPr>
          <xdr:cNvSpPr txBox="1"/>
        </xdr:nvSpPr>
        <xdr:spPr>
          <a:xfrm>
            <a:off x="1002155" y="23573264"/>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1.2</a:t>
            </a:r>
          </a:p>
        </xdr:txBody>
      </xdr:sp>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1002155" y="23369785"/>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1.3</a:t>
            </a:r>
          </a:p>
        </xdr:txBody>
      </xdr:sp>
      <xdr:sp macro="" textlink="">
        <xdr:nvSpPr>
          <xdr:cNvPr id="28" name="TextBox 27">
            <a:extLst>
              <a:ext uri="{FF2B5EF4-FFF2-40B4-BE49-F238E27FC236}">
                <a16:creationId xmlns:a16="http://schemas.microsoft.com/office/drawing/2014/main" id="{00000000-0008-0000-0100-00001C000000}"/>
              </a:ext>
            </a:extLst>
          </xdr:cNvPr>
          <xdr:cNvSpPr txBox="1"/>
        </xdr:nvSpPr>
        <xdr:spPr>
          <a:xfrm>
            <a:off x="1002155" y="23183891"/>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1.4</a:t>
            </a:r>
          </a:p>
        </xdr:txBody>
      </xdr:sp>
      <xdr:sp macro="" textlink="">
        <xdr:nvSpPr>
          <xdr:cNvPr id="29" name="TextBox 28">
            <a:extLst>
              <a:ext uri="{FF2B5EF4-FFF2-40B4-BE49-F238E27FC236}">
                <a16:creationId xmlns:a16="http://schemas.microsoft.com/office/drawing/2014/main" id="{00000000-0008-0000-0100-00001D000000}"/>
              </a:ext>
            </a:extLst>
          </xdr:cNvPr>
          <xdr:cNvSpPr txBox="1"/>
        </xdr:nvSpPr>
        <xdr:spPr>
          <a:xfrm>
            <a:off x="1002155" y="22964501"/>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1.5</a:t>
            </a:r>
          </a:p>
        </xdr:txBody>
      </xdr:sp>
    </xdr:grpSp>
    <xdr:clientData/>
  </xdr:twoCellAnchor>
  <xdr:twoCellAnchor>
    <xdr:from>
      <xdr:col>1</xdr:col>
      <xdr:colOff>0</xdr:colOff>
      <xdr:row>170</xdr:row>
      <xdr:rowOff>19050</xdr:rowOff>
    </xdr:from>
    <xdr:to>
      <xdr:col>10</xdr:col>
      <xdr:colOff>1957</xdr:colOff>
      <xdr:row>190</xdr:row>
      <xdr:rowOff>0</xdr:rowOff>
    </xdr:to>
    <xdr:graphicFrame macro="">
      <xdr:nvGraphicFramePr>
        <xdr:cNvPr id="31" name="Chart 30">
          <a:extLst>
            <a:ext uri="{FF2B5EF4-FFF2-40B4-BE49-F238E27FC236}">
              <a16:creationId xmlns:a16="http://schemas.microsoft.com/office/drawing/2014/main" id="{00000000-0008-0000-01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192</xdr:row>
      <xdr:rowOff>19050</xdr:rowOff>
    </xdr:from>
    <xdr:to>
      <xdr:col>10</xdr:col>
      <xdr:colOff>571</xdr:colOff>
      <xdr:row>213</xdr:row>
      <xdr:rowOff>0</xdr:rowOff>
    </xdr:to>
    <xdr:graphicFrame macro="">
      <xdr:nvGraphicFramePr>
        <xdr:cNvPr id="32" name="Chart 31">
          <a:extLst>
            <a:ext uri="{FF2B5EF4-FFF2-40B4-BE49-F238E27FC236}">
              <a16:creationId xmlns:a16="http://schemas.microsoft.com/office/drawing/2014/main" id="{00000000-0008-0000-01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31</xdr:col>
      <xdr:colOff>13855</xdr:colOff>
      <xdr:row>212</xdr:row>
      <xdr:rowOff>55419</xdr:rowOff>
    </xdr:from>
    <xdr:to>
      <xdr:col>40</xdr:col>
      <xdr:colOff>337214</xdr:colOff>
      <xdr:row>235</xdr:row>
      <xdr:rowOff>54293</xdr:rowOff>
    </xdr:to>
    <xdr:pic>
      <xdr:nvPicPr>
        <xdr:cNvPr id="33" name="Picture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8"/>
        <a:stretch>
          <a:fillRect/>
        </a:stretch>
      </xdr:blipFill>
      <xdr:spPr>
        <a:xfrm>
          <a:off x="16362219" y="38363237"/>
          <a:ext cx="5934450" cy="4155238"/>
        </a:xfrm>
        <a:prstGeom prst="rect">
          <a:avLst/>
        </a:prstGeom>
      </xdr:spPr>
    </xdr:pic>
    <xdr:clientData/>
  </xdr:twoCellAnchor>
  <xdr:twoCellAnchor editAs="oneCell">
    <xdr:from>
      <xdr:col>30</xdr:col>
      <xdr:colOff>40834</xdr:colOff>
      <xdr:row>275</xdr:row>
      <xdr:rowOff>156011</xdr:rowOff>
    </xdr:from>
    <xdr:to>
      <xdr:col>39</xdr:col>
      <xdr:colOff>246937</xdr:colOff>
      <xdr:row>300</xdr:row>
      <xdr:rowOff>19327</xdr:rowOff>
    </xdr:to>
    <xdr:pic>
      <xdr:nvPicPr>
        <xdr:cNvPr id="34" name="Picture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9"/>
        <a:stretch>
          <a:fillRect/>
        </a:stretch>
      </xdr:blipFill>
      <xdr:spPr>
        <a:xfrm>
          <a:off x="15392893" y="43007305"/>
          <a:ext cx="5652162" cy="3841404"/>
        </a:xfrm>
        <a:prstGeom prst="rect">
          <a:avLst/>
        </a:prstGeom>
      </xdr:spPr>
    </xdr:pic>
    <xdr:clientData/>
  </xdr:twoCellAnchor>
  <xdr:twoCellAnchor>
    <xdr:from>
      <xdr:col>1</xdr:col>
      <xdr:colOff>0</xdr:colOff>
      <xdr:row>229</xdr:row>
      <xdr:rowOff>173875</xdr:rowOff>
    </xdr:from>
    <xdr:to>
      <xdr:col>10</xdr:col>
      <xdr:colOff>0</xdr:colOff>
      <xdr:row>249</xdr:row>
      <xdr:rowOff>0</xdr:rowOff>
    </xdr:to>
    <xdr:graphicFrame macro="">
      <xdr:nvGraphicFramePr>
        <xdr:cNvPr id="35" name="Chart 34">
          <a:extLst>
            <a:ext uri="{FF2B5EF4-FFF2-40B4-BE49-F238E27FC236}">
              <a16:creationId xmlns:a16="http://schemas.microsoft.com/office/drawing/2014/main" id="{00000000-0008-0000-0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0</xdr:colOff>
      <xdr:row>286</xdr:row>
      <xdr:rowOff>173875</xdr:rowOff>
    </xdr:from>
    <xdr:to>
      <xdr:col>10</xdr:col>
      <xdr:colOff>0</xdr:colOff>
      <xdr:row>306</xdr:row>
      <xdr:rowOff>0</xdr:rowOff>
    </xdr:to>
    <xdr:graphicFrame macro="">
      <xdr:nvGraphicFramePr>
        <xdr:cNvPr id="39" name="Chart 38">
          <a:extLst>
            <a:ext uri="{FF2B5EF4-FFF2-40B4-BE49-F238E27FC236}">
              <a16:creationId xmlns:a16="http://schemas.microsoft.com/office/drawing/2014/main" id="{00000000-0008-0000-01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oneCellAnchor>
    <xdr:from>
      <xdr:col>6</xdr:col>
      <xdr:colOff>166255</xdr:colOff>
      <xdr:row>237</xdr:row>
      <xdr:rowOff>138545</xdr:rowOff>
    </xdr:from>
    <xdr:ext cx="1045158" cy="264560"/>
    <xdr:sp macro="" textlink="">
      <xdr:nvSpPr>
        <xdr:cNvPr id="40" name="TextBox 39">
          <a:extLst>
            <a:ext uri="{FF2B5EF4-FFF2-40B4-BE49-F238E27FC236}">
              <a16:creationId xmlns:a16="http://schemas.microsoft.com/office/drawing/2014/main" id="{00000000-0008-0000-0100-000028000000}"/>
            </a:ext>
          </a:extLst>
        </xdr:cNvPr>
        <xdr:cNvSpPr txBox="1"/>
      </xdr:nvSpPr>
      <xdr:spPr>
        <a:xfrm>
          <a:off x="3948546" y="42962945"/>
          <a:ext cx="10451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 Vertical Tail</a:t>
          </a:r>
        </a:p>
      </xdr:txBody>
    </xdr:sp>
    <xdr:clientData/>
  </xdr:oneCellAnchor>
  <xdr:oneCellAnchor>
    <xdr:from>
      <xdr:col>4</xdr:col>
      <xdr:colOff>96981</xdr:colOff>
      <xdr:row>233</xdr:row>
      <xdr:rowOff>96981</xdr:rowOff>
    </xdr:from>
    <xdr:ext cx="2099614" cy="264560"/>
    <xdr:sp macro="" textlink="">
      <xdr:nvSpPr>
        <xdr:cNvPr id="41" name="TextBox 40">
          <a:extLst>
            <a:ext uri="{FF2B5EF4-FFF2-40B4-BE49-F238E27FC236}">
              <a16:creationId xmlns:a16="http://schemas.microsoft.com/office/drawing/2014/main" id="{00000000-0008-0000-0100-000029000000}"/>
            </a:ext>
          </a:extLst>
        </xdr:cNvPr>
        <xdr:cNvSpPr txBox="1"/>
      </xdr:nvSpPr>
      <xdr:spPr>
        <a:xfrm>
          <a:off x="2632363" y="42200945"/>
          <a:ext cx="209961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(2) Horizontal Tail (Up and Down)</a:t>
          </a:r>
        </a:p>
      </xdr:txBody>
    </xdr:sp>
    <xdr:clientData/>
  </xdr:oneCellAnchor>
  <xdr:oneCellAnchor>
    <xdr:from>
      <xdr:col>5</xdr:col>
      <xdr:colOff>221673</xdr:colOff>
      <xdr:row>289</xdr:row>
      <xdr:rowOff>152400</xdr:rowOff>
    </xdr:from>
    <xdr:ext cx="584006" cy="264560"/>
    <xdr:sp macro="" textlink="">
      <xdr:nvSpPr>
        <xdr:cNvPr id="42" name="TextBox 41">
          <a:extLst>
            <a:ext uri="{FF2B5EF4-FFF2-40B4-BE49-F238E27FC236}">
              <a16:creationId xmlns:a16="http://schemas.microsoft.com/office/drawing/2014/main" id="{00000000-0008-0000-0100-00002A000000}"/>
            </a:ext>
          </a:extLst>
        </xdr:cNvPr>
        <xdr:cNvSpPr txBox="1"/>
      </xdr:nvSpPr>
      <xdr:spPr>
        <a:xfrm>
          <a:off x="3380509" y="51441927"/>
          <a:ext cx="58400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(3)</a:t>
          </a:r>
          <a:r>
            <a:rPr lang="en-US" sz="1100" baseline="0"/>
            <a:t> Tab</a:t>
          </a:r>
          <a:endParaRPr lang="en-US" sz="1100"/>
        </a:p>
      </xdr:txBody>
    </xdr:sp>
    <xdr:clientData/>
  </xdr:oneCellAnchor>
  <xdr:oneCellAnchor>
    <xdr:from>
      <xdr:col>7</xdr:col>
      <xdr:colOff>193964</xdr:colOff>
      <xdr:row>288</xdr:row>
      <xdr:rowOff>13855</xdr:rowOff>
    </xdr:from>
    <xdr:ext cx="612475" cy="264560"/>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4599709" y="51123273"/>
          <a:ext cx="6124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(4) Flap</a:t>
          </a:r>
        </a:p>
      </xdr:txBody>
    </xdr:sp>
    <xdr:clientData/>
  </xdr:oneCellAnchor>
  <xdr:oneCellAnchor>
    <xdr:from>
      <xdr:col>7</xdr:col>
      <xdr:colOff>498765</xdr:colOff>
      <xdr:row>293</xdr:row>
      <xdr:rowOff>55418</xdr:rowOff>
    </xdr:from>
    <xdr:ext cx="787844" cy="264560"/>
    <xdr:sp macro="" textlink="">
      <xdr:nvSpPr>
        <xdr:cNvPr id="44" name="TextBox 43">
          <a:extLst>
            <a:ext uri="{FF2B5EF4-FFF2-40B4-BE49-F238E27FC236}">
              <a16:creationId xmlns:a16="http://schemas.microsoft.com/office/drawing/2014/main" id="{00000000-0008-0000-0100-00002C000000}"/>
            </a:ext>
          </a:extLst>
        </xdr:cNvPr>
        <xdr:cNvSpPr txBox="1"/>
      </xdr:nvSpPr>
      <xdr:spPr>
        <a:xfrm>
          <a:off x="4904510" y="52065382"/>
          <a:ext cx="7878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(5) Aileron</a:t>
          </a: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38" name="Group 37">
          <a:extLst>
            <a:ext uri="{FF2B5EF4-FFF2-40B4-BE49-F238E27FC236}">
              <a16:creationId xmlns:a16="http://schemas.microsoft.com/office/drawing/2014/main" id="{00000000-0008-0000-0100-000026000000}"/>
            </a:ext>
          </a:extLst>
        </xdr:cNvPr>
        <xdr:cNvGrpSpPr/>
      </xdr:nvGrpSpPr>
      <xdr:grpSpPr>
        <a:xfrm>
          <a:off x="40822" y="1200386"/>
          <a:ext cx="2510636" cy="601372"/>
          <a:chOff x="40822" y="1267641"/>
          <a:chExt cx="2570933" cy="630195"/>
        </a:xfrm>
      </xdr:grpSpPr>
      <xdr:pic>
        <xdr:nvPicPr>
          <xdr:cNvPr id="45" name="Picture 44">
            <a:hlinkClick xmlns:r="http://schemas.openxmlformats.org/officeDocument/2006/relationships" r:id="rId12"/>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6" name="Picture 45" descr="PayPal - The safer, easier way to pay online!">
            <a:hlinkClick xmlns:r="http://schemas.openxmlformats.org/officeDocument/2006/relationships" r:id="rId14"/>
            <a:extLst>
              <a:ext uri="{FF2B5EF4-FFF2-40B4-BE49-F238E27FC236}">
                <a16:creationId xmlns:a16="http://schemas.microsoft.com/office/drawing/2014/main" id="{00000000-0008-0000-0100-00002E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59</xdr:row>
      <xdr:rowOff>40821</xdr:rowOff>
    </xdr:from>
    <xdr:to>
      <xdr:col>4</xdr:col>
      <xdr:colOff>66675</xdr:colOff>
      <xdr:row>62</xdr:row>
      <xdr:rowOff>145236</xdr:rowOff>
    </xdr:to>
    <xdr:grpSp>
      <xdr:nvGrpSpPr>
        <xdr:cNvPr id="47" name="Group 46">
          <a:extLst>
            <a:ext uri="{FF2B5EF4-FFF2-40B4-BE49-F238E27FC236}">
              <a16:creationId xmlns:a16="http://schemas.microsoft.com/office/drawing/2014/main" id="{00000000-0008-0000-0100-00002F000000}"/>
            </a:ext>
          </a:extLst>
        </xdr:cNvPr>
        <xdr:cNvGrpSpPr/>
      </xdr:nvGrpSpPr>
      <xdr:grpSpPr>
        <a:xfrm>
          <a:off x="40822" y="9971669"/>
          <a:ext cx="2510636" cy="601371"/>
          <a:chOff x="40822" y="1267641"/>
          <a:chExt cx="2570933" cy="630195"/>
        </a:xfrm>
      </xdr:grpSpPr>
      <xdr:pic>
        <xdr:nvPicPr>
          <xdr:cNvPr id="48" name="Picture 47">
            <a:hlinkClick xmlns:r="http://schemas.openxmlformats.org/officeDocument/2006/relationships" r:id="rId12"/>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9" name="Picture 48" descr="PayPal - The safer, easier way to pay online!">
            <a:hlinkClick xmlns:r="http://schemas.openxmlformats.org/officeDocument/2006/relationships" r:id="rId14"/>
            <a:extLst>
              <a:ext uri="{FF2B5EF4-FFF2-40B4-BE49-F238E27FC236}">
                <a16:creationId xmlns:a16="http://schemas.microsoft.com/office/drawing/2014/main" id="{00000000-0008-0000-0100-000031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111</xdr:row>
      <xdr:rowOff>40821</xdr:rowOff>
    </xdr:from>
    <xdr:to>
      <xdr:col>4</xdr:col>
      <xdr:colOff>66675</xdr:colOff>
      <xdr:row>114</xdr:row>
      <xdr:rowOff>145236</xdr:rowOff>
    </xdr:to>
    <xdr:grpSp>
      <xdr:nvGrpSpPr>
        <xdr:cNvPr id="50" name="Group 49">
          <a:extLst>
            <a:ext uri="{FF2B5EF4-FFF2-40B4-BE49-F238E27FC236}">
              <a16:creationId xmlns:a16="http://schemas.microsoft.com/office/drawing/2014/main" id="{00000000-0008-0000-0100-000032000000}"/>
            </a:ext>
          </a:extLst>
        </xdr:cNvPr>
        <xdr:cNvGrpSpPr/>
      </xdr:nvGrpSpPr>
      <xdr:grpSpPr>
        <a:xfrm>
          <a:off x="40822" y="18643560"/>
          <a:ext cx="2510636" cy="601372"/>
          <a:chOff x="40822" y="1267641"/>
          <a:chExt cx="2570933" cy="630195"/>
        </a:xfrm>
      </xdr:grpSpPr>
      <xdr:pic>
        <xdr:nvPicPr>
          <xdr:cNvPr id="51" name="Picture 50">
            <a:hlinkClick xmlns:r="http://schemas.openxmlformats.org/officeDocument/2006/relationships" r:id="rId12"/>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2" name="Picture 51" descr="PayPal - The safer, easier way to pay online!">
            <a:hlinkClick xmlns:r="http://schemas.openxmlformats.org/officeDocument/2006/relationships" r:id="rId14"/>
            <a:extLst>
              <a:ext uri="{FF2B5EF4-FFF2-40B4-BE49-F238E27FC236}">
                <a16:creationId xmlns:a16="http://schemas.microsoft.com/office/drawing/2014/main" id="{00000000-0008-0000-0100-000034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163</xdr:row>
      <xdr:rowOff>40821</xdr:rowOff>
    </xdr:from>
    <xdr:to>
      <xdr:col>4</xdr:col>
      <xdr:colOff>66675</xdr:colOff>
      <xdr:row>166</xdr:row>
      <xdr:rowOff>145236</xdr:rowOff>
    </xdr:to>
    <xdr:grpSp>
      <xdr:nvGrpSpPr>
        <xdr:cNvPr id="53" name="Group 52">
          <a:extLst>
            <a:ext uri="{FF2B5EF4-FFF2-40B4-BE49-F238E27FC236}">
              <a16:creationId xmlns:a16="http://schemas.microsoft.com/office/drawing/2014/main" id="{00000000-0008-0000-0100-000035000000}"/>
            </a:ext>
          </a:extLst>
        </xdr:cNvPr>
        <xdr:cNvGrpSpPr/>
      </xdr:nvGrpSpPr>
      <xdr:grpSpPr>
        <a:xfrm>
          <a:off x="40822" y="27315451"/>
          <a:ext cx="2510636" cy="601372"/>
          <a:chOff x="40822" y="1267641"/>
          <a:chExt cx="2570933" cy="630195"/>
        </a:xfrm>
      </xdr:grpSpPr>
      <xdr:pic>
        <xdr:nvPicPr>
          <xdr:cNvPr id="54" name="Picture 53">
            <a:hlinkClick xmlns:r="http://schemas.openxmlformats.org/officeDocument/2006/relationships" r:id="rId12"/>
            <a:extLst>
              <a:ext uri="{FF2B5EF4-FFF2-40B4-BE49-F238E27FC236}">
                <a16:creationId xmlns:a16="http://schemas.microsoft.com/office/drawing/2014/main" id="{00000000-0008-0000-0100-000036000000}"/>
              </a:ext>
            </a:extLst>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5" name="Picture 54" descr="PayPal - The safer, easier way to pay online!">
            <a:hlinkClick xmlns:r="http://schemas.openxmlformats.org/officeDocument/2006/relationships" r:id="rId14"/>
            <a:extLst>
              <a:ext uri="{FF2B5EF4-FFF2-40B4-BE49-F238E27FC236}">
                <a16:creationId xmlns:a16="http://schemas.microsoft.com/office/drawing/2014/main" id="{00000000-0008-0000-0100-000037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216</xdr:row>
      <xdr:rowOff>40821</xdr:rowOff>
    </xdr:from>
    <xdr:to>
      <xdr:col>4</xdr:col>
      <xdr:colOff>66675</xdr:colOff>
      <xdr:row>219</xdr:row>
      <xdr:rowOff>145236</xdr:rowOff>
    </xdr:to>
    <xdr:grpSp>
      <xdr:nvGrpSpPr>
        <xdr:cNvPr id="56" name="Group 55">
          <a:extLst>
            <a:ext uri="{FF2B5EF4-FFF2-40B4-BE49-F238E27FC236}">
              <a16:creationId xmlns:a16="http://schemas.microsoft.com/office/drawing/2014/main" id="{00000000-0008-0000-0100-000038000000}"/>
            </a:ext>
          </a:extLst>
        </xdr:cNvPr>
        <xdr:cNvGrpSpPr/>
      </xdr:nvGrpSpPr>
      <xdr:grpSpPr>
        <a:xfrm>
          <a:off x="40822" y="36144712"/>
          <a:ext cx="2510636" cy="601372"/>
          <a:chOff x="40822" y="1267641"/>
          <a:chExt cx="2570933" cy="630195"/>
        </a:xfrm>
      </xdr:grpSpPr>
      <xdr:pic>
        <xdr:nvPicPr>
          <xdr:cNvPr id="57" name="Picture 56">
            <a:hlinkClick xmlns:r="http://schemas.openxmlformats.org/officeDocument/2006/relationships" r:id="rId12"/>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8" name="Picture 57" descr="PayPal - The safer, easier way to pay online!">
            <a:hlinkClick xmlns:r="http://schemas.openxmlformats.org/officeDocument/2006/relationships" r:id="rId14"/>
            <a:extLst>
              <a:ext uri="{FF2B5EF4-FFF2-40B4-BE49-F238E27FC236}">
                <a16:creationId xmlns:a16="http://schemas.microsoft.com/office/drawing/2014/main" id="{00000000-0008-0000-0100-00003A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273</xdr:row>
      <xdr:rowOff>40821</xdr:rowOff>
    </xdr:from>
    <xdr:to>
      <xdr:col>4</xdr:col>
      <xdr:colOff>66675</xdr:colOff>
      <xdr:row>276</xdr:row>
      <xdr:rowOff>145236</xdr:rowOff>
    </xdr:to>
    <xdr:grpSp>
      <xdr:nvGrpSpPr>
        <xdr:cNvPr id="59" name="Group 58">
          <a:extLst>
            <a:ext uri="{FF2B5EF4-FFF2-40B4-BE49-F238E27FC236}">
              <a16:creationId xmlns:a16="http://schemas.microsoft.com/office/drawing/2014/main" id="{00000000-0008-0000-0100-00003B000000}"/>
            </a:ext>
          </a:extLst>
        </xdr:cNvPr>
        <xdr:cNvGrpSpPr/>
      </xdr:nvGrpSpPr>
      <xdr:grpSpPr>
        <a:xfrm>
          <a:off x="40822" y="45628299"/>
          <a:ext cx="2510636" cy="601372"/>
          <a:chOff x="40822" y="1267641"/>
          <a:chExt cx="2570933" cy="630195"/>
        </a:xfrm>
      </xdr:grpSpPr>
      <xdr:pic>
        <xdr:nvPicPr>
          <xdr:cNvPr id="60" name="Picture 59">
            <a:hlinkClick xmlns:r="http://schemas.openxmlformats.org/officeDocument/2006/relationships" r:id="rId12"/>
            <a:extLst>
              <a:ext uri="{FF2B5EF4-FFF2-40B4-BE49-F238E27FC236}">
                <a16:creationId xmlns:a16="http://schemas.microsoft.com/office/drawing/2014/main" id="{00000000-0008-0000-0100-00003C000000}"/>
              </a:ext>
            </a:extLst>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1" name="Picture 60" descr="PayPal - The safer, easier way to pay online!">
            <a:hlinkClick xmlns:r="http://schemas.openxmlformats.org/officeDocument/2006/relationships" r:id="rId14"/>
            <a:extLst>
              <a:ext uri="{FF2B5EF4-FFF2-40B4-BE49-F238E27FC236}">
                <a16:creationId xmlns:a16="http://schemas.microsoft.com/office/drawing/2014/main" id="{00000000-0008-0000-0100-00003D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c:userShapes xmlns:c="http://schemas.openxmlformats.org/drawingml/2006/chart">
  <cdr:relSizeAnchor xmlns:cdr="http://schemas.openxmlformats.org/drawingml/2006/chartDrawing">
    <cdr:from>
      <cdr:x>0.01097</cdr:x>
      <cdr:y>0.0153</cdr:y>
    </cdr:from>
    <cdr:to>
      <cdr:x>0.01097</cdr:x>
      <cdr:y>0.0153</cdr:y>
    </cdr:to>
    <cdr:sp macro="" textlink="">
      <cdr:nvSpPr>
        <cdr:cNvPr id="2" name="DVCHARTID" hidden="1">
          <a:extLst xmlns:a="http://schemas.openxmlformats.org/drawingml/2006/main">
            <a:ext uri="{FF2B5EF4-FFF2-40B4-BE49-F238E27FC236}">
              <a16:creationId xmlns:a16="http://schemas.microsoft.com/office/drawing/2014/main" id="{120B0762-6495-4C4B-94FD-B9AF60184FA8}"/>
            </a:ext>
          </a:extLst>
        </cdr:cNvPr>
        <cdr:cNvSpPr txBox="1"/>
      </cdr:nvSpPr>
      <cdr:spPr>
        <a:xfrm xmlns:a="http://schemas.openxmlformats.org/drawingml/2006/main">
          <a:off x="50800" y="50800"/>
          <a:ext cx="0" cy="0"/>
        </a:xfrm>
        <a:prstGeom xmlns:a="http://schemas.openxmlformats.org/drawingml/2006/main" prst="rect">
          <a:avLst/>
        </a:prstGeom>
      </cdr:spPr>
      <cdr:txBody>
        <a:bodyPr xmlns:a="http://schemas.openxmlformats.org/drawingml/2006/main" vertOverflow="clip" vert="vert" rtlCol="0" anchor="ctr"/>
        <a:lstStyle xmlns:a="http://schemas.openxmlformats.org/drawingml/2006/main"/>
        <a:p xmlns:a="http://schemas.openxmlformats.org/drawingml/2006/main">
          <a:pPr algn="r"/>
          <a:r>
            <a:rPr lang="en-CA" sz="1100"/>
            <a:t>JCrVd0vTgOjdibM5LEPlwE</a:t>
          </a:r>
        </a:p>
      </cdr:txBody>
    </cdr:sp>
  </cdr:relSizeAnchor>
</c:userShapes>
</file>

<file path=xl/drawings/drawing4.xml><?xml version="1.0" encoding="utf-8"?>
<c:userShapes xmlns:c="http://schemas.openxmlformats.org/drawingml/2006/chart">
  <cdr:relSizeAnchor xmlns:cdr="http://schemas.openxmlformats.org/drawingml/2006/chartDrawing">
    <cdr:from>
      <cdr:x>0.01097</cdr:x>
      <cdr:y>0.0153</cdr:y>
    </cdr:from>
    <cdr:to>
      <cdr:x>0.01097</cdr:x>
      <cdr:y>0.0153</cdr:y>
    </cdr:to>
    <cdr:sp macro="" textlink="">
      <cdr:nvSpPr>
        <cdr:cNvPr id="2" name="DVCHARTID" hidden="1">
          <a:extLst xmlns:a="http://schemas.openxmlformats.org/drawingml/2006/main">
            <a:ext uri="{FF2B5EF4-FFF2-40B4-BE49-F238E27FC236}">
              <a16:creationId xmlns:a16="http://schemas.microsoft.com/office/drawing/2014/main" id="{7921A5D2-8CE7-4EC0-AACC-7C3412AFCE23}"/>
            </a:ext>
          </a:extLst>
        </cdr:cNvPr>
        <cdr:cNvSpPr txBox="1"/>
      </cdr:nvSpPr>
      <cdr:spPr>
        <a:xfrm xmlns:a="http://schemas.openxmlformats.org/drawingml/2006/main">
          <a:off x="50800" y="50800"/>
          <a:ext cx="0" cy="0"/>
        </a:xfrm>
        <a:prstGeom xmlns:a="http://schemas.openxmlformats.org/drawingml/2006/main" prst="rect">
          <a:avLst/>
        </a:prstGeom>
      </cdr:spPr>
      <cdr:txBody>
        <a:bodyPr xmlns:a="http://schemas.openxmlformats.org/drawingml/2006/main" vertOverflow="clip" vert="vert" rtlCol="0" anchor="ctr"/>
        <a:lstStyle xmlns:a="http://schemas.openxmlformats.org/drawingml/2006/main"/>
        <a:p xmlns:a="http://schemas.openxmlformats.org/drawingml/2006/main">
          <a:pPr algn="r"/>
          <a:r>
            <a:rPr lang="en-CA" sz="1100"/>
            <a:t>JCrVd0vTgOjdibM5LEPlwE</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31" name="Group 30">
          <a:extLst>
            <a:ext uri="{FF2B5EF4-FFF2-40B4-BE49-F238E27FC236}">
              <a16:creationId xmlns:a16="http://schemas.microsoft.com/office/drawing/2014/main" id="{3BFF4554-169F-4B1B-A38E-662D6418F11D}"/>
            </a:ext>
          </a:extLst>
        </xdr:cNvPr>
        <xdr:cNvGrpSpPr/>
      </xdr:nvGrpSpPr>
      <xdr:grpSpPr>
        <a:xfrm>
          <a:off x="40822" y="1138997"/>
          <a:ext cx="2491147" cy="575063"/>
          <a:chOff x="40822" y="1267641"/>
          <a:chExt cx="2570933" cy="630195"/>
        </a:xfrm>
      </xdr:grpSpPr>
      <xdr:pic>
        <xdr:nvPicPr>
          <xdr:cNvPr id="32" name="Picture 31">
            <a:hlinkClick xmlns:r="http://schemas.openxmlformats.org/officeDocument/2006/relationships" r:id="rId1"/>
            <a:extLst>
              <a:ext uri="{FF2B5EF4-FFF2-40B4-BE49-F238E27FC236}">
                <a16:creationId xmlns:a16="http://schemas.microsoft.com/office/drawing/2014/main" id="{B81717A6-E0A4-47CB-B437-64794030680B}"/>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3" name="Picture 32" descr="PayPal - The safer, easier way to pay online!">
            <a:hlinkClick xmlns:r="http://schemas.openxmlformats.org/officeDocument/2006/relationships" r:id="rId3"/>
            <a:extLst>
              <a:ext uri="{FF2B5EF4-FFF2-40B4-BE49-F238E27FC236}">
                <a16:creationId xmlns:a16="http://schemas.microsoft.com/office/drawing/2014/main" id="{A97FCC10-747C-4776-9840-F37C5EB0A6D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64</xdr:row>
      <xdr:rowOff>40821</xdr:rowOff>
    </xdr:from>
    <xdr:to>
      <xdr:col>4</xdr:col>
      <xdr:colOff>66675</xdr:colOff>
      <xdr:row>67</xdr:row>
      <xdr:rowOff>145236</xdr:rowOff>
    </xdr:to>
    <xdr:grpSp>
      <xdr:nvGrpSpPr>
        <xdr:cNvPr id="34" name="Group 33">
          <a:extLst>
            <a:ext uri="{FF2B5EF4-FFF2-40B4-BE49-F238E27FC236}">
              <a16:creationId xmlns:a16="http://schemas.microsoft.com/office/drawing/2014/main" id="{A45C975C-E126-4C66-82F1-D7F9998AF551}"/>
            </a:ext>
          </a:extLst>
        </xdr:cNvPr>
        <xdr:cNvGrpSpPr/>
      </xdr:nvGrpSpPr>
      <xdr:grpSpPr>
        <a:xfrm>
          <a:off x="40822" y="10182145"/>
          <a:ext cx="2491147" cy="575062"/>
          <a:chOff x="40822" y="1267641"/>
          <a:chExt cx="2570933" cy="630195"/>
        </a:xfrm>
      </xdr:grpSpPr>
      <xdr:pic>
        <xdr:nvPicPr>
          <xdr:cNvPr id="35" name="Picture 34">
            <a:hlinkClick xmlns:r="http://schemas.openxmlformats.org/officeDocument/2006/relationships" r:id="rId1"/>
            <a:extLst>
              <a:ext uri="{FF2B5EF4-FFF2-40B4-BE49-F238E27FC236}">
                <a16:creationId xmlns:a16="http://schemas.microsoft.com/office/drawing/2014/main" id="{231D89C7-3EC0-4FC9-8366-97E296C2815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6" name="Picture 35" descr="PayPal - The safer, easier way to pay online!">
            <a:hlinkClick xmlns:r="http://schemas.openxmlformats.org/officeDocument/2006/relationships" r:id="rId3"/>
            <a:extLst>
              <a:ext uri="{FF2B5EF4-FFF2-40B4-BE49-F238E27FC236}">
                <a16:creationId xmlns:a16="http://schemas.microsoft.com/office/drawing/2014/main" id="{1DFAB6C5-477A-4C3B-941C-727A407F848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285750</xdr:colOff>
      <xdr:row>38</xdr:row>
      <xdr:rowOff>0</xdr:rowOff>
    </xdr:from>
    <xdr:to>
      <xdr:col>9</xdr:col>
      <xdr:colOff>295275</xdr:colOff>
      <xdr:row>46</xdr:row>
      <xdr:rowOff>0</xdr:rowOff>
    </xdr:to>
    <xdr:grpSp>
      <xdr:nvGrpSpPr>
        <xdr:cNvPr id="75" name="Group 74">
          <a:extLst>
            <a:ext uri="{FF2B5EF4-FFF2-40B4-BE49-F238E27FC236}">
              <a16:creationId xmlns:a16="http://schemas.microsoft.com/office/drawing/2014/main" id="{CE26EC89-3BDF-4060-819B-A18C66CA77F2}"/>
            </a:ext>
          </a:extLst>
        </xdr:cNvPr>
        <xdr:cNvGrpSpPr/>
      </xdr:nvGrpSpPr>
      <xdr:grpSpPr>
        <a:xfrm>
          <a:off x="890868" y="6062382"/>
          <a:ext cx="4895289" cy="1255059"/>
          <a:chOff x="609600" y="6238875"/>
          <a:chExt cx="5524500" cy="1295400"/>
        </a:xfrm>
      </xdr:grpSpPr>
      <xdr:cxnSp macro="">
        <xdr:nvCxnSpPr>
          <xdr:cNvPr id="50" name="Straight Connector 49">
            <a:extLst>
              <a:ext uri="{FF2B5EF4-FFF2-40B4-BE49-F238E27FC236}">
                <a16:creationId xmlns:a16="http://schemas.microsoft.com/office/drawing/2014/main" id="{6ED7184E-0F68-47F3-B891-28DFEBD64203}"/>
              </a:ext>
            </a:extLst>
          </xdr:cNvPr>
          <xdr:cNvCxnSpPr/>
        </xdr:nvCxnSpPr>
        <xdr:spPr bwMode="auto">
          <a:xfrm>
            <a:off x="609600" y="6400800"/>
            <a:ext cx="0" cy="97155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2" name="Straight Connector 51">
            <a:extLst>
              <a:ext uri="{FF2B5EF4-FFF2-40B4-BE49-F238E27FC236}">
                <a16:creationId xmlns:a16="http://schemas.microsoft.com/office/drawing/2014/main" id="{DDA25D5B-F51F-47DE-8DA7-381A7FD2E105}"/>
              </a:ext>
            </a:extLst>
          </xdr:cNvPr>
          <xdr:cNvCxnSpPr/>
        </xdr:nvCxnSpPr>
        <xdr:spPr bwMode="auto">
          <a:xfrm flipV="1">
            <a:off x="609600" y="6238875"/>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5" name="Straight Connector 54">
            <a:extLst>
              <a:ext uri="{FF2B5EF4-FFF2-40B4-BE49-F238E27FC236}">
                <a16:creationId xmlns:a16="http://schemas.microsoft.com/office/drawing/2014/main" id="{1CD78932-F666-432D-939C-23A0355D74AE}"/>
              </a:ext>
            </a:extLst>
          </xdr:cNvPr>
          <xdr:cNvCxnSpPr/>
        </xdr:nvCxnSpPr>
        <xdr:spPr bwMode="auto">
          <a:xfrm>
            <a:off x="609600" y="7372350"/>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7" name="Straight Connector 56">
            <a:extLst>
              <a:ext uri="{FF2B5EF4-FFF2-40B4-BE49-F238E27FC236}">
                <a16:creationId xmlns:a16="http://schemas.microsoft.com/office/drawing/2014/main" id="{DF76C193-88D5-4FC7-A10F-032897314087}"/>
              </a:ext>
            </a:extLst>
          </xdr:cNvPr>
          <xdr:cNvCxnSpPr/>
        </xdr:nvCxnSpPr>
        <xdr:spPr bwMode="auto">
          <a:xfrm>
            <a:off x="6134100" y="6238875"/>
            <a:ext cx="0" cy="12954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editAs="oneCell">
    <xdr:from>
      <xdr:col>47</xdr:col>
      <xdr:colOff>526473</xdr:colOff>
      <xdr:row>19</xdr:row>
      <xdr:rowOff>67294</xdr:rowOff>
    </xdr:from>
    <xdr:to>
      <xdr:col>57</xdr:col>
      <xdr:colOff>525710</xdr:colOff>
      <xdr:row>55</xdr:row>
      <xdr:rowOff>29829</xdr:rowOff>
    </xdr:to>
    <xdr:pic>
      <xdr:nvPicPr>
        <xdr:cNvPr id="62" name="Picture 61">
          <a:extLst>
            <a:ext uri="{FF2B5EF4-FFF2-40B4-BE49-F238E27FC236}">
              <a16:creationId xmlns:a16="http://schemas.microsoft.com/office/drawing/2014/main" id="{282600E2-2B8A-4EA0-A093-B5F8791046BC}"/>
            </a:ext>
          </a:extLst>
        </xdr:cNvPr>
        <xdr:cNvPicPr>
          <a:picLocks noChangeAspect="1"/>
        </xdr:cNvPicPr>
      </xdr:nvPicPr>
      <xdr:blipFill>
        <a:blip xmlns:r="http://schemas.openxmlformats.org/officeDocument/2006/relationships" r:embed="rId5"/>
        <a:stretch>
          <a:fillRect/>
        </a:stretch>
      </xdr:blipFill>
      <xdr:spPr>
        <a:xfrm>
          <a:off x="26380044" y="3251365"/>
          <a:ext cx="6122452" cy="5840821"/>
        </a:xfrm>
        <a:prstGeom prst="rect">
          <a:avLst/>
        </a:prstGeom>
      </xdr:spPr>
    </xdr:pic>
    <xdr:clientData/>
  </xdr:twoCellAnchor>
  <xdr:twoCellAnchor>
    <xdr:from>
      <xdr:col>1</xdr:col>
      <xdr:colOff>285750</xdr:colOff>
      <xdr:row>45</xdr:row>
      <xdr:rowOff>104775</xdr:rowOff>
    </xdr:from>
    <xdr:to>
      <xdr:col>1</xdr:col>
      <xdr:colOff>285750</xdr:colOff>
      <xdr:row>48</xdr:row>
      <xdr:rowOff>9525</xdr:rowOff>
    </xdr:to>
    <xdr:cxnSp macro="">
      <xdr:nvCxnSpPr>
        <xdr:cNvPr id="77" name="Straight Connector 76">
          <a:extLst>
            <a:ext uri="{FF2B5EF4-FFF2-40B4-BE49-F238E27FC236}">
              <a16:creationId xmlns:a16="http://schemas.microsoft.com/office/drawing/2014/main" id="{B3F3D4C5-757A-4B7F-996E-AA5861C884AF}"/>
            </a:ext>
          </a:extLst>
        </xdr:cNvPr>
        <xdr:cNvCxnSpPr/>
      </xdr:nvCxnSpPr>
      <xdr:spPr bwMode="auto">
        <a:xfrm>
          <a:off x="895350" y="7477125"/>
          <a:ext cx="0" cy="3905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9</xdr:col>
      <xdr:colOff>295275</xdr:colOff>
      <xdr:row>46</xdr:row>
      <xdr:rowOff>85725</xdr:rowOff>
    </xdr:from>
    <xdr:to>
      <xdr:col>9</xdr:col>
      <xdr:colOff>295275</xdr:colOff>
      <xdr:row>48</xdr:row>
      <xdr:rowOff>19050</xdr:rowOff>
    </xdr:to>
    <xdr:cxnSp macro="">
      <xdr:nvCxnSpPr>
        <xdr:cNvPr id="78" name="Straight Connector 77">
          <a:extLst>
            <a:ext uri="{FF2B5EF4-FFF2-40B4-BE49-F238E27FC236}">
              <a16:creationId xmlns:a16="http://schemas.microsoft.com/office/drawing/2014/main" id="{DBB2268F-9336-4595-AC62-9E132B58E810}"/>
            </a:ext>
          </a:extLst>
        </xdr:cNvPr>
        <xdr:cNvCxnSpPr/>
      </xdr:nvCxnSpPr>
      <xdr:spPr bwMode="auto">
        <a:xfrm>
          <a:off x="5819775" y="7620000"/>
          <a:ext cx="0" cy="25717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285750</xdr:colOff>
      <xdr:row>47</xdr:row>
      <xdr:rowOff>28575</xdr:rowOff>
    </xdr:from>
    <xdr:to>
      <xdr:col>9</xdr:col>
      <xdr:colOff>304800</xdr:colOff>
      <xdr:row>47</xdr:row>
      <xdr:rowOff>28575</xdr:rowOff>
    </xdr:to>
    <xdr:cxnSp macro="">
      <xdr:nvCxnSpPr>
        <xdr:cNvPr id="81" name="Straight Arrow Connector 80">
          <a:extLst>
            <a:ext uri="{FF2B5EF4-FFF2-40B4-BE49-F238E27FC236}">
              <a16:creationId xmlns:a16="http://schemas.microsoft.com/office/drawing/2014/main" id="{93BAAD45-720F-439C-AC01-6CFD255CADB8}"/>
            </a:ext>
          </a:extLst>
        </xdr:cNvPr>
        <xdr:cNvCxnSpPr/>
      </xdr:nvCxnSpPr>
      <xdr:spPr bwMode="auto">
        <a:xfrm>
          <a:off x="895350" y="7724775"/>
          <a:ext cx="4933950"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0</xdr:col>
      <xdr:colOff>571500</xdr:colOff>
      <xdr:row>39</xdr:row>
      <xdr:rowOff>0</xdr:rowOff>
    </xdr:from>
    <xdr:to>
      <xdr:col>1</xdr:col>
      <xdr:colOff>238125</xdr:colOff>
      <xdr:row>39</xdr:row>
      <xdr:rowOff>0</xdr:rowOff>
    </xdr:to>
    <xdr:cxnSp macro="">
      <xdr:nvCxnSpPr>
        <xdr:cNvPr id="85" name="Straight Connector 84">
          <a:extLst>
            <a:ext uri="{FF2B5EF4-FFF2-40B4-BE49-F238E27FC236}">
              <a16:creationId xmlns:a16="http://schemas.microsoft.com/office/drawing/2014/main" id="{5D962E00-AD74-4AF8-969A-C623AD102B20}"/>
            </a:ext>
          </a:extLst>
        </xdr:cNvPr>
        <xdr:cNvCxnSpPr/>
      </xdr:nvCxnSpPr>
      <xdr:spPr bwMode="auto">
        <a:xfrm flipH="1">
          <a:off x="571500" y="6400800"/>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0</xdr:col>
      <xdr:colOff>571500</xdr:colOff>
      <xdr:row>45</xdr:row>
      <xdr:rowOff>0</xdr:rowOff>
    </xdr:from>
    <xdr:to>
      <xdr:col>1</xdr:col>
      <xdr:colOff>238125</xdr:colOff>
      <xdr:row>45</xdr:row>
      <xdr:rowOff>0</xdr:rowOff>
    </xdr:to>
    <xdr:cxnSp macro="">
      <xdr:nvCxnSpPr>
        <xdr:cNvPr id="86" name="Straight Connector 85">
          <a:extLst>
            <a:ext uri="{FF2B5EF4-FFF2-40B4-BE49-F238E27FC236}">
              <a16:creationId xmlns:a16="http://schemas.microsoft.com/office/drawing/2014/main" id="{7A682FAF-27D8-4A1C-9EBD-CD2B643D9A7C}"/>
            </a:ext>
          </a:extLst>
        </xdr:cNvPr>
        <xdr:cNvCxnSpPr/>
      </xdr:nvCxnSpPr>
      <xdr:spPr bwMode="auto">
        <a:xfrm flipH="1">
          <a:off x="571500" y="7372350"/>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57150</xdr:colOff>
      <xdr:row>39</xdr:row>
      <xdr:rowOff>0</xdr:rowOff>
    </xdr:from>
    <xdr:to>
      <xdr:col>1</xdr:col>
      <xdr:colOff>57150</xdr:colOff>
      <xdr:row>45</xdr:row>
      <xdr:rowOff>9525</xdr:rowOff>
    </xdr:to>
    <xdr:cxnSp macro="">
      <xdr:nvCxnSpPr>
        <xdr:cNvPr id="88" name="Straight Arrow Connector 87">
          <a:extLst>
            <a:ext uri="{FF2B5EF4-FFF2-40B4-BE49-F238E27FC236}">
              <a16:creationId xmlns:a16="http://schemas.microsoft.com/office/drawing/2014/main" id="{FF4DA864-72BB-4433-B21A-086B78F1A0BE}"/>
            </a:ext>
          </a:extLst>
        </xdr:cNvPr>
        <xdr:cNvCxnSpPr/>
      </xdr:nvCxnSpPr>
      <xdr:spPr bwMode="auto">
        <a:xfrm>
          <a:off x="666750" y="6400800"/>
          <a:ext cx="0" cy="981075"/>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9</xdr:col>
      <xdr:colOff>342900</xdr:colOff>
      <xdr:row>38</xdr:row>
      <xdr:rowOff>0</xdr:rowOff>
    </xdr:from>
    <xdr:to>
      <xdr:col>10</xdr:col>
      <xdr:colOff>9525</xdr:colOff>
      <xdr:row>38</xdr:row>
      <xdr:rowOff>0</xdr:rowOff>
    </xdr:to>
    <xdr:cxnSp macro="">
      <xdr:nvCxnSpPr>
        <xdr:cNvPr id="91" name="Straight Connector 90">
          <a:extLst>
            <a:ext uri="{FF2B5EF4-FFF2-40B4-BE49-F238E27FC236}">
              <a16:creationId xmlns:a16="http://schemas.microsoft.com/office/drawing/2014/main" id="{AAB6A023-6C66-4729-9E21-25F68C68E798}"/>
            </a:ext>
          </a:extLst>
        </xdr:cNvPr>
        <xdr:cNvCxnSpPr/>
      </xdr:nvCxnSpPr>
      <xdr:spPr bwMode="auto">
        <a:xfrm flipH="1">
          <a:off x="5867400" y="6238875"/>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9</xdr:col>
      <xdr:colOff>342900</xdr:colOff>
      <xdr:row>46</xdr:row>
      <xdr:rowOff>0</xdr:rowOff>
    </xdr:from>
    <xdr:to>
      <xdr:col>10</xdr:col>
      <xdr:colOff>9525</xdr:colOff>
      <xdr:row>46</xdr:row>
      <xdr:rowOff>0</xdr:rowOff>
    </xdr:to>
    <xdr:cxnSp macro="">
      <xdr:nvCxnSpPr>
        <xdr:cNvPr id="92" name="Straight Connector 91">
          <a:extLst>
            <a:ext uri="{FF2B5EF4-FFF2-40B4-BE49-F238E27FC236}">
              <a16:creationId xmlns:a16="http://schemas.microsoft.com/office/drawing/2014/main" id="{6F906EDE-1722-46D8-8B28-54EACD80D88B}"/>
            </a:ext>
          </a:extLst>
        </xdr:cNvPr>
        <xdr:cNvCxnSpPr/>
      </xdr:nvCxnSpPr>
      <xdr:spPr bwMode="auto">
        <a:xfrm flipH="1">
          <a:off x="5867400" y="7534275"/>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9</xdr:col>
      <xdr:colOff>523875</xdr:colOff>
      <xdr:row>38</xdr:row>
      <xdr:rowOff>9525</xdr:rowOff>
    </xdr:from>
    <xdr:to>
      <xdr:col>9</xdr:col>
      <xdr:colOff>523875</xdr:colOff>
      <xdr:row>46</xdr:row>
      <xdr:rowOff>0</xdr:rowOff>
    </xdr:to>
    <xdr:cxnSp macro="">
      <xdr:nvCxnSpPr>
        <xdr:cNvPr id="93" name="Straight Arrow Connector 92">
          <a:extLst>
            <a:ext uri="{FF2B5EF4-FFF2-40B4-BE49-F238E27FC236}">
              <a16:creationId xmlns:a16="http://schemas.microsoft.com/office/drawing/2014/main" id="{F693E0F4-9FE5-4F05-BB10-6FA965B886C0}"/>
            </a:ext>
          </a:extLst>
        </xdr:cNvPr>
        <xdr:cNvCxnSpPr/>
      </xdr:nvCxnSpPr>
      <xdr:spPr bwMode="auto">
        <a:xfrm>
          <a:off x="6048375" y="6248400"/>
          <a:ext cx="0" cy="1285875"/>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1</xdr:col>
      <xdr:colOff>180975</xdr:colOff>
      <xdr:row>40</xdr:row>
      <xdr:rowOff>114300</xdr:rowOff>
    </xdr:from>
    <xdr:to>
      <xdr:col>9</xdr:col>
      <xdr:colOff>428625</xdr:colOff>
      <xdr:row>41</xdr:row>
      <xdr:rowOff>57150</xdr:rowOff>
    </xdr:to>
    <xdr:cxnSp macro="">
      <xdr:nvCxnSpPr>
        <xdr:cNvPr id="96" name="Straight Connector 95">
          <a:extLst>
            <a:ext uri="{FF2B5EF4-FFF2-40B4-BE49-F238E27FC236}">
              <a16:creationId xmlns:a16="http://schemas.microsoft.com/office/drawing/2014/main" id="{92637C60-72C2-46C6-BFB7-7550D74E60DD}"/>
            </a:ext>
          </a:extLst>
        </xdr:cNvPr>
        <xdr:cNvCxnSpPr/>
      </xdr:nvCxnSpPr>
      <xdr:spPr bwMode="auto">
        <a:xfrm flipV="1">
          <a:off x="790575" y="6677025"/>
          <a:ext cx="5162550" cy="104775"/>
        </a:xfrm>
        <a:prstGeom prst="line">
          <a:avLst/>
        </a:prstGeom>
        <a:solidFill>
          <a:srgbClr val="FFFFFF"/>
        </a:solidFill>
        <a:ln w="9525" cap="flat" cmpd="sng" algn="ctr">
          <a:solidFill>
            <a:srgbClr val="000000"/>
          </a:solidFill>
          <a:prstDash val="lgDash"/>
          <a:round/>
          <a:headEnd type="none" w="med" len="med"/>
          <a:tailEnd type="none" w="med" len="med"/>
        </a:ln>
        <a:effectLst/>
      </xdr:spPr>
    </xdr:cxnSp>
    <xdr:clientData/>
  </xdr:twoCellAnchor>
  <xdr:twoCellAnchor>
    <xdr:from>
      <xdr:col>9</xdr:col>
      <xdr:colOff>371475</xdr:colOff>
      <xdr:row>38</xdr:row>
      <xdr:rowOff>9525</xdr:rowOff>
    </xdr:from>
    <xdr:to>
      <xdr:col>9</xdr:col>
      <xdr:colOff>371475</xdr:colOff>
      <xdr:row>40</xdr:row>
      <xdr:rowOff>123825</xdr:rowOff>
    </xdr:to>
    <xdr:cxnSp macro="">
      <xdr:nvCxnSpPr>
        <xdr:cNvPr id="97" name="Straight Arrow Connector 96">
          <a:extLst>
            <a:ext uri="{FF2B5EF4-FFF2-40B4-BE49-F238E27FC236}">
              <a16:creationId xmlns:a16="http://schemas.microsoft.com/office/drawing/2014/main" id="{4394B93B-4F6C-4CFA-B823-9547B761B440}"/>
            </a:ext>
          </a:extLst>
        </xdr:cNvPr>
        <xdr:cNvCxnSpPr/>
      </xdr:nvCxnSpPr>
      <xdr:spPr bwMode="auto">
        <a:xfrm>
          <a:off x="5895975" y="6248400"/>
          <a:ext cx="0" cy="43815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1</xdr:col>
      <xdr:colOff>200025</xdr:colOff>
      <xdr:row>39</xdr:row>
      <xdr:rowOff>0</xdr:rowOff>
    </xdr:from>
    <xdr:to>
      <xdr:col>1</xdr:col>
      <xdr:colOff>200025</xdr:colOff>
      <xdr:row>41</xdr:row>
      <xdr:rowOff>57150</xdr:rowOff>
    </xdr:to>
    <xdr:cxnSp macro="">
      <xdr:nvCxnSpPr>
        <xdr:cNvPr id="99" name="Straight Arrow Connector 98">
          <a:extLst>
            <a:ext uri="{FF2B5EF4-FFF2-40B4-BE49-F238E27FC236}">
              <a16:creationId xmlns:a16="http://schemas.microsoft.com/office/drawing/2014/main" id="{53611EA5-AB23-4025-90CB-5F706A652450}"/>
            </a:ext>
          </a:extLst>
        </xdr:cNvPr>
        <xdr:cNvCxnSpPr/>
      </xdr:nvCxnSpPr>
      <xdr:spPr bwMode="auto">
        <a:xfrm>
          <a:off x="809625" y="6400800"/>
          <a:ext cx="0" cy="38100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1</xdr:col>
      <xdr:colOff>0</xdr:colOff>
      <xdr:row>82</xdr:row>
      <xdr:rowOff>112058</xdr:rowOff>
    </xdr:from>
    <xdr:to>
      <xdr:col>10</xdr:col>
      <xdr:colOff>0</xdr:colOff>
      <xdr:row>103</xdr:row>
      <xdr:rowOff>112058</xdr:rowOff>
    </xdr:to>
    <xdr:graphicFrame macro="">
      <xdr:nvGraphicFramePr>
        <xdr:cNvPr id="101" name="Chart 100">
          <a:extLst>
            <a:ext uri="{FF2B5EF4-FFF2-40B4-BE49-F238E27FC236}">
              <a16:creationId xmlns:a16="http://schemas.microsoft.com/office/drawing/2014/main" id="{D216A713-96D1-44BA-934D-849BE77951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104</xdr:row>
      <xdr:rowOff>78440</xdr:rowOff>
    </xdr:from>
    <xdr:to>
      <xdr:col>4</xdr:col>
      <xdr:colOff>0</xdr:colOff>
      <xdr:row>104</xdr:row>
      <xdr:rowOff>78440</xdr:rowOff>
    </xdr:to>
    <xdr:cxnSp macro="">
      <xdr:nvCxnSpPr>
        <xdr:cNvPr id="103" name="Straight Connector 102">
          <a:extLst>
            <a:ext uri="{FF2B5EF4-FFF2-40B4-BE49-F238E27FC236}">
              <a16:creationId xmlns:a16="http://schemas.microsoft.com/office/drawing/2014/main" id="{CF29324E-DC18-4763-8C89-B57E1C65C793}"/>
            </a:ext>
          </a:extLst>
        </xdr:cNvPr>
        <xdr:cNvCxnSpPr/>
      </xdr:nvCxnSpPr>
      <xdr:spPr bwMode="auto">
        <a:xfrm>
          <a:off x="1221441" y="14197852"/>
          <a:ext cx="638735"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3</xdr:col>
      <xdr:colOff>0</xdr:colOff>
      <xdr:row>105</xdr:row>
      <xdr:rowOff>78440</xdr:rowOff>
    </xdr:from>
    <xdr:to>
      <xdr:col>4</xdr:col>
      <xdr:colOff>0</xdr:colOff>
      <xdr:row>105</xdr:row>
      <xdr:rowOff>78440</xdr:rowOff>
    </xdr:to>
    <xdr:cxnSp macro="">
      <xdr:nvCxnSpPr>
        <xdr:cNvPr id="104" name="Straight Connector 103">
          <a:extLst>
            <a:ext uri="{FF2B5EF4-FFF2-40B4-BE49-F238E27FC236}">
              <a16:creationId xmlns:a16="http://schemas.microsoft.com/office/drawing/2014/main" id="{CCBB6443-9EAD-45C7-BFBE-33A2C32035F0}"/>
            </a:ext>
          </a:extLst>
        </xdr:cNvPr>
        <xdr:cNvCxnSpPr/>
      </xdr:nvCxnSpPr>
      <xdr:spPr bwMode="auto">
        <a:xfrm>
          <a:off x="1221441" y="14354734"/>
          <a:ext cx="638735" cy="0"/>
        </a:xfrm>
        <a:prstGeom prst="line">
          <a:avLst/>
        </a:prstGeom>
        <a:solidFill>
          <a:srgbClr val="FFFFFF"/>
        </a:solidFill>
        <a:ln w="19050" cap="flat" cmpd="sng" algn="ctr">
          <a:solidFill>
            <a:srgbClr val="000000"/>
          </a:solidFill>
          <a:prstDash val="sysDash"/>
          <a:round/>
          <a:headEnd type="none" w="med" len="med"/>
          <a:tailEnd type="none" w="med" len="med"/>
        </a:ln>
        <a:effectLst/>
      </xdr:spPr>
    </xdr:cxnSp>
    <xdr:clientData/>
  </xdr:twoCellAnchor>
  <xdr:twoCellAnchor>
    <xdr:from>
      <xdr:col>3</xdr:col>
      <xdr:colOff>163286</xdr:colOff>
      <xdr:row>73</xdr:row>
      <xdr:rowOff>0</xdr:rowOff>
    </xdr:from>
    <xdr:to>
      <xdr:col>3</xdr:col>
      <xdr:colOff>163286</xdr:colOff>
      <xdr:row>80</xdr:row>
      <xdr:rowOff>0</xdr:rowOff>
    </xdr:to>
    <xdr:cxnSp macro="">
      <xdr:nvCxnSpPr>
        <xdr:cNvPr id="106" name="Straight Connector 105">
          <a:extLst>
            <a:ext uri="{FF2B5EF4-FFF2-40B4-BE49-F238E27FC236}">
              <a16:creationId xmlns:a16="http://schemas.microsoft.com/office/drawing/2014/main" id="{2F1417FF-DAA1-4420-8066-2B3C94C06DEE}"/>
            </a:ext>
          </a:extLst>
        </xdr:cNvPr>
        <xdr:cNvCxnSpPr/>
      </xdr:nvCxnSpPr>
      <xdr:spPr bwMode="auto">
        <a:xfrm>
          <a:off x="2041072" y="11239500"/>
          <a:ext cx="0" cy="11430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0</xdr:colOff>
      <xdr:row>79</xdr:row>
      <xdr:rowOff>0</xdr:rowOff>
    </xdr:from>
    <xdr:to>
      <xdr:col>8</xdr:col>
      <xdr:colOff>0</xdr:colOff>
      <xdr:row>79</xdr:row>
      <xdr:rowOff>0</xdr:rowOff>
    </xdr:to>
    <xdr:cxnSp macro="">
      <xdr:nvCxnSpPr>
        <xdr:cNvPr id="110" name="Straight Connector 109">
          <a:extLst>
            <a:ext uri="{FF2B5EF4-FFF2-40B4-BE49-F238E27FC236}">
              <a16:creationId xmlns:a16="http://schemas.microsoft.com/office/drawing/2014/main" id="{CAC15351-884F-482F-A9AF-4D68DD941A3A}"/>
            </a:ext>
          </a:extLst>
        </xdr:cNvPr>
        <xdr:cNvCxnSpPr/>
      </xdr:nvCxnSpPr>
      <xdr:spPr bwMode="auto">
        <a:xfrm>
          <a:off x="1877786" y="12219214"/>
          <a:ext cx="3061607"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163286</xdr:colOff>
      <xdr:row>75</xdr:row>
      <xdr:rowOff>0</xdr:rowOff>
    </xdr:from>
    <xdr:to>
      <xdr:col>5</xdr:col>
      <xdr:colOff>0</xdr:colOff>
      <xdr:row>75</xdr:row>
      <xdr:rowOff>0</xdr:rowOff>
    </xdr:to>
    <xdr:cxnSp macro="">
      <xdr:nvCxnSpPr>
        <xdr:cNvPr id="112" name="Straight Connector 111">
          <a:extLst>
            <a:ext uri="{FF2B5EF4-FFF2-40B4-BE49-F238E27FC236}">
              <a16:creationId xmlns:a16="http://schemas.microsoft.com/office/drawing/2014/main" id="{42B2C386-2BEA-4059-B3CE-F69E4FD9CEE6}"/>
            </a:ext>
          </a:extLst>
        </xdr:cNvPr>
        <xdr:cNvCxnSpPr/>
      </xdr:nvCxnSpPr>
      <xdr:spPr bwMode="auto">
        <a:xfrm>
          <a:off x="2030186" y="11560629"/>
          <a:ext cx="1055914"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5</xdr:col>
      <xdr:colOff>0</xdr:colOff>
      <xdr:row>75</xdr:row>
      <xdr:rowOff>0</xdr:rowOff>
    </xdr:from>
    <xdr:to>
      <xdr:col>7</xdr:col>
      <xdr:colOff>0</xdr:colOff>
      <xdr:row>79</xdr:row>
      <xdr:rowOff>0</xdr:rowOff>
    </xdr:to>
    <xdr:cxnSp macro="">
      <xdr:nvCxnSpPr>
        <xdr:cNvPr id="114" name="Straight Connector 113">
          <a:extLst>
            <a:ext uri="{FF2B5EF4-FFF2-40B4-BE49-F238E27FC236}">
              <a16:creationId xmlns:a16="http://schemas.microsoft.com/office/drawing/2014/main" id="{015EEAF3-6137-4B70-A7A8-3A52762E3ECE}"/>
            </a:ext>
          </a:extLst>
        </xdr:cNvPr>
        <xdr:cNvCxnSpPr/>
      </xdr:nvCxnSpPr>
      <xdr:spPr bwMode="auto">
        <a:xfrm>
          <a:off x="3102429" y="11566071"/>
          <a:ext cx="1224642" cy="65314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5</xdr:col>
      <xdr:colOff>0</xdr:colOff>
      <xdr:row>75</xdr:row>
      <xdr:rowOff>0</xdr:rowOff>
    </xdr:from>
    <xdr:to>
      <xdr:col>5</xdr:col>
      <xdr:colOff>0</xdr:colOff>
      <xdr:row>78</xdr:row>
      <xdr:rowOff>163285</xdr:rowOff>
    </xdr:to>
    <xdr:cxnSp macro="">
      <xdr:nvCxnSpPr>
        <xdr:cNvPr id="118" name="Straight Connector 117">
          <a:extLst>
            <a:ext uri="{FF2B5EF4-FFF2-40B4-BE49-F238E27FC236}">
              <a16:creationId xmlns:a16="http://schemas.microsoft.com/office/drawing/2014/main" id="{027A1FAD-83FD-46CA-BA17-0EBFD93A5EA6}"/>
            </a:ext>
          </a:extLst>
        </xdr:cNvPr>
        <xdr:cNvCxnSpPr/>
      </xdr:nvCxnSpPr>
      <xdr:spPr bwMode="auto">
        <a:xfrm>
          <a:off x="3086100" y="11560629"/>
          <a:ext cx="0" cy="653142"/>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4</xdr:col>
      <xdr:colOff>0</xdr:colOff>
      <xdr:row>43</xdr:row>
      <xdr:rowOff>0</xdr:rowOff>
    </xdr:from>
    <xdr:to>
      <xdr:col>7</xdr:col>
      <xdr:colOff>0</xdr:colOff>
      <xdr:row>43</xdr:row>
      <xdr:rowOff>0</xdr:rowOff>
    </xdr:to>
    <xdr:cxnSp macro="">
      <xdr:nvCxnSpPr>
        <xdr:cNvPr id="3" name="Straight Arrow Connector 2">
          <a:extLst>
            <a:ext uri="{FF2B5EF4-FFF2-40B4-BE49-F238E27FC236}">
              <a16:creationId xmlns:a16="http://schemas.microsoft.com/office/drawing/2014/main" id="{9E1C7A95-17C0-43AC-98CA-4B0703EC2D45}"/>
            </a:ext>
          </a:extLst>
        </xdr:cNvPr>
        <xdr:cNvCxnSpPr/>
      </xdr:nvCxnSpPr>
      <xdr:spPr bwMode="auto">
        <a:xfrm flipH="1">
          <a:off x="2470547" y="7000875"/>
          <a:ext cx="1821656" cy="0"/>
        </a:xfrm>
        <a:prstGeom prst="straightConnector1">
          <a:avLst/>
        </a:prstGeom>
        <a:solidFill>
          <a:srgbClr val="FFFFFF"/>
        </a:solidFill>
        <a:ln w="28575" cap="flat" cmpd="sng" algn="ctr">
          <a:solidFill>
            <a:srgbClr val="000000"/>
          </a:solidFill>
          <a:prstDash val="solid"/>
          <a:round/>
          <a:headEnd type="none" w="med" len="med"/>
          <a:tailEnd type="triangle"/>
        </a:ln>
        <a:effectLst/>
      </xdr:spPr>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2" name="Group 1">
          <a:extLst>
            <a:ext uri="{FF2B5EF4-FFF2-40B4-BE49-F238E27FC236}">
              <a16:creationId xmlns:a16="http://schemas.microsoft.com/office/drawing/2014/main" id="{04382F95-400C-44EF-9949-FB449F1060CF}"/>
            </a:ext>
          </a:extLst>
        </xdr:cNvPr>
        <xdr:cNvGrpSpPr/>
      </xdr:nvGrpSpPr>
      <xdr:grpSpPr>
        <a:xfrm>
          <a:off x="40822" y="1183821"/>
          <a:ext cx="2515960" cy="594272"/>
          <a:chOff x="40822" y="1267641"/>
          <a:chExt cx="2570933" cy="630195"/>
        </a:xfrm>
      </xdr:grpSpPr>
      <xdr:pic>
        <xdr:nvPicPr>
          <xdr:cNvPr id="3" name="Picture 2">
            <a:hlinkClick xmlns:r="http://schemas.openxmlformats.org/officeDocument/2006/relationships" r:id="rId1"/>
            <a:extLst>
              <a:ext uri="{FF2B5EF4-FFF2-40B4-BE49-F238E27FC236}">
                <a16:creationId xmlns:a16="http://schemas.microsoft.com/office/drawing/2014/main" id="{BB9F1678-99C9-41CC-8FD9-07532848663F}"/>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 name="Picture 3" descr="PayPal - The safer, easier way to pay online!">
            <a:hlinkClick xmlns:r="http://schemas.openxmlformats.org/officeDocument/2006/relationships" r:id="rId3"/>
            <a:extLst>
              <a:ext uri="{FF2B5EF4-FFF2-40B4-BE49-F238E27FC236}">
                <a16:creationId xmlns:a16="http://schemas.microsoft.com/office/drawing/2014/main" id="{B5BD5671-0942-4BF7-9E5F-CE1CE29E312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65</xdr:row>
      <xdr:rowOff>40821</xdr:rowOff>
    </xdr:from>
    <xdr:to>
      <xdr:col>4</xdr:col>
      <xdr:colOff>66675</xdr:colOff>
      <xdr:row>68</xdr:row>
      <xdr:rowOff>145236</xdr:rowOff>
    </xdr:to>
    <xdr:grpSp>
      <xdr:nvGrpSpPr>
        <xdr:cNvPr id="5" name="Group 4">
          <a:extLst>
            <a:ext uri="{FF2B5EF4-FFF2-40B4-BE49-F238E27FC236}">
              <a16:creationId xmlns:a16="http://schemas.microsoft.com/office/drawing/2014/main" id="{3BE84359-6329-4EDD-A467-F9CE4BDE03EC}"/>
            </a:ext>
          </a:extLst>
        </xdr:cNvPr>
        <xdr:cNvGrpSpPr/>
      </xdr:nvGrpSpPr>
      <xdr:grpSpPr>
        <a:xfrm>
          <a:off x="40822" y="10736035"/>
          <a:ext cx="2515960" cy="594272"/>
          <a:chOff x="40822" y="1267641"/>
          <a:chExt cx="2570933" cy="630195"/>
        </a:xfrm>
      </xdr:grpSpPr>
      <xdr:pic>
        <xdr:nvPicPr>
          <xdr:cNvPr id="6" name="Picture 5">
            <a:hlinkClick xmlns:r="http://schemas.openxmlformats.org/officeDocument/2006/relationships" r:id="rId1"/>
            <a:extLst>
              <a:ext uri="{FF2B5EF4-FFF2-40B4-BE49-F238E27FC236}">
                <a16:creationId xmlns:a16="http://schemas.microsoft.com/office/drawing/2014/main" id="{EF8A1880-5693-44EF-A09F-993533A13DAD}"/>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3"/>
            <a:extLst>
              <a:ext uri="{FF2B5EF4-FFF2-40B4-BE49-F238E27FC236}">
                <a16:creationId xmlns:a16="http://schemas.microsoft.com/office/drawing/2014/main" id="{317B546D-44ED-4371-AABE-AC34F55119F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57</xdr:col>
      <xdr:colOff>138977</xdr:colOff>
      <xdr:row>68</xdr:row>
      <xdr:rowOff>147389</xdr:rowOff>
    </xdr:from>
    <xdr:to>
      <xdr:col>66</xdr:col>
      <xdr:colOff>571170</xdr:colOff>
      <xdr:row>104</xdr:row>
      <xdr:rowOff>96935</xdr:rowOff>
    </xdr:to>
    <xdr:pic>
      <xdr:nvPicPr>
        <xdr:cNvPr id="25" name="Picture 24">
          <a:extLst>
            <a:ext uri="{FF2B5EF4-FFF2-40B4-BE49-F238E27FC236}">
              <a16:creationId xmlns:a16="http://schemas.microsoft.com/office/drawing/2014/main" id="{8734A5D0-ADF4-49EF-8F00-9FD30A5BB5FD}"/>
            </a:ext>
          </a:extLst>
        </xdr:cNvPr>
        <xdr:cNvPicPr>
          <a:picLocks noChangeAspect="1"/>
        </xdr:cNvPicPr>
      </xdr:nvPicPr>
      <xdr:blipFill>
        <a:blip xmlns:r="http://schemas.openxmlformats.org/officeDocument/2006/relationships" r:embed="rId5"/>
        <a:stretch>
          <a:fillRect/>
        </a:stretch>
      </xdr:blipFill>
      <xdr:spPr>
        <a:xfrm>
          <a:off x="32385432" y="9914844"/>
          <a:ext cx="6060601" cy="5629910"/>
        </a:xfrm>
        <a:prstGeom prst="rect">
          <a:avLst/>
        </a:prstGeom>
      </xdr:spPr>
    </xdr:pic>
    <xdr:clientData/>
  </xdr:twoCellAnchor>
  <xdr:twoCellAnchor>
    <xdr:from>
      <xdr:col>1</xdr:col>
      <xdr:colOff>0</xdr:colOff>
      <xdr:row>86</xdr:row>
      <xdr:rowOff>112058</xdr:rowOff>
    </xdr:from>
    <xdr:to>
      <xdr:col>10</xdr:col>
      <xdr:colOff>0</xdr:colOff>
      <xdr:row>107</xdr:row>
      <xdr:rowOff>112058</xdr:rowOff>
    </xdr:to>
    <xdr:graphicFrame macro="">
      <xdr:nvGraphicFramePr>
        <xdr:cNvPr id="38" name="Chart 37">
          <a:extLst>
            <a:ext uri="{FF2B5EF4-FFF2-40B4-BE49-F238E27FC236}">
              <a16:creationId xmlns:a16="http://schemas.microsoft.com/office/drawing/2014/main" id="{C87321C8-FE4E-4F75-9FB2-E5F97564C4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108</xdr:row>
      <xdr:rowOff>78440</xdr:rowOff>
    </xdr:from>
    <xdr:to>
      <xdr:col>4</xdr:col>
      <xdr:colOff>0</xdr:colOff>
      <xdr:row>108</xdr:row>
      <xdr:rowOff>78440</xdr:rowOff>
    </xdr:to>
    <xdr:cxnSp macro="">
      <xdr:nvCxnSpPr>
        <xdr:cNvPr id="39" name="Straight Connector 38">
          <a:extLst>
            <a:ext uri="{FF2B5EF4-FFF2-40B4-BE49-F238E27FC236}">
              <a16:creationId xmlns:a16="http://schemas.microsoft.com/office/drawing/2014/main" id="{C591E9ED-1E7B-42D7-BE6F-4A5B2C57DD5E}"/>
            </a:ext>
          </a:extLst>
        </xdr:cNvPr>
        <xdr:cNvCxnSpPr/>
      </xdr:nvCxnSpPr>
      <xdr:spPr bwMode="auto">
        <a:xfrm>
          <a:off x="1866900" y="16242365"/>
          <a:ext cx="6096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3</xdr:col>
      <xdr:colOff>0</xdr:colOff>
      <xdr:row>109</xdr:row>
      <xdr:rowOff>78440</xdr:rowOff>
    </xdr:from>
    <xdr:to>
      <xdr:col>4</xdr:col>
      <xdr:colOff>0</xdr:colOff>
      <xdr:row>109</xdr:row>
      <xdr:rowOff>78440</xdr:rowOff>
    </xdr:to>
    <xdr:cxnSp macro="">
      <xdr:nvCxnSpPr>
        <xdr:cNvPr id="40" name="Straight Connector 39">
          <a:extLst>
            <a:ext uri="{FF2B5EF4-FFF2-40B4-BE49-F238E27FC236}">
              <a16:creationId xmlns:a16="http://schemas.microsoft.com/office/drawing/2014/main" id="{0BF1D549-F844-4A45-89A7-F6F839D5E6D2}"/>
            </a:ext>
          </a:extLst>
        </xdr:cNvPr>
        <xdr:cNvCxnSpPr/>
      </xdr:nvCxnSpPr>
      <xdr:spPr bwMode="auto">
        <a:xfrm>
          <a:off x="1866900" y="16404290"/>
          <a:ext cx="609600" cy="0"/>
        </a:xfrm>
        <a:prstGeom prst="line">
          <a:avLst/>
        </a:prstGeom>
        <a:solidFill>
          <a:srgbClr val="FFFFFF"/>
        </a:solidFill>
        <a:ln w="19050" cap="flat" cmpd="sng" algn="ctr">
          <a:solidFill>
            <a:srgbClr val="000000"/>
          </a:solidFill>
          <a:prstDash val="sysDash"/>
          <a:round/>
          <a:headEnd type="none" w="med" len="med"/>
          <a:tailEnd type="none" w="med" len="med"/>
        </a:ln>
        <a:effectLst/>
      </xdr:spPr>
    </xdr:cxnSp>
    <xdr:clientData/>
  </xdr:twoCellAnchor>
  <xdr:twoCellAnchor>
    <xdr:from>
      <xdr:col>1</xdr:col>
      <xdr:colOff>163286</xdr:colOff>
      <xdr:row>74</xdr:row>
      <xdr:rowOff>0</xdr:rowOff>
    </xdr:from>
    <xdr:to>
      <xdr:col>1</xdr:col>
      <xdr:colOff>163286</xdr:colOff>
      <xdr:row>82</xdr:row>
      <xdr:rowOff>78827</xdr:rowOff>
    </xdr:to>
    <xdr:cxnSp macro="">
      <xdr:nvCxnSpPr>
        <xdr:cNvPr id="41" name="Straight Connector 40">
          <a:extLst>
            <a:ext uri="{FF2B5EF4-FFF2-40B4-BE49-F238E27FC236}">
              <a16:creationId xmlns:a16="http://schemas.microsoft.com/office/drawing/2014/main" id="{00167889-C22C-48B4-A215-E4693945C8EB}"/>
            </a:ext>
          </a:extLst>
        </xdr:cNvPr>
        <xdr:cNvCxnSpPr/>
      </xdr:nvCxnSpPr>
      <xdr:spPr bwMode="auto">
        <a:xfrm>
          <a:off x="2028872" y="11285483"/>
          <a:ext cx="0" cy="139262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80</xdr:row>
      <xdr:rowOff>0</xdr:rowOff>
    </xdr:from>
    <xdr:to>
      <xdr:col>6</xdr:col>
      <xdr:colOff>0</xdr:colOff>
      <xdr:row>80</xdr:row>
      <xdr:rowOff>0</xdr:rowOff>
    </xdr:to>
    <xdr:cxnSp macro="">
      <xdr:nvCxnSpPr>
        <xdr:cNvPr id="42" name="Straight Connector 41">
          <a:extLst>
            <a:ext uri="{FF2B5EF4-FFF2-40B4-BE49-F238E27FC236}">
              <a16:creationId xmlns:a16="http://schemas.microsoft.com/office/drawing/2014/main" id="{D6EE3B56-7368-4606-B3E6-589C53F04D97}"/>
            </a:ext>
          </a:extLst>
        </xdr:cNvPr>
        <xdr:cNvCxnSpPr/>
      </xdr:nvCxnSpPr>
      <xdr:spPr bwMode="auto">
        <a:xfrm>
          <a:off x="1866900" y="12115800"/>
          <a:ext cx="3048000"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4</xdr:col>
      <xdr:colOff>0</xdr:colOff>
      <xdr:row>76</xdr:row>
      <xdr:rowOff>0</xdr:rowOff>
    </xdr:from>
    <xdr:to>
      <xdr:col>4</xdr:col>
      <xdr:colOff>0</xdr:colOff>
      <xdr:row>80</xdr:row>
      <xdr:rowOff>137948</xdr:rowOff>
    </xdr:to>
    <xdr:cxnSp macro="">
      <xdr:nvCxnSpPr>
        <xdr:cNvPr id="45" name="Straight Connector 44">
          <a:extLst>
            <a:ext uri="{FF2B5EF4-FFF2-40B4-BE49-F238E27FC236}">
              <a16:creationId xmlns:a16="http://schemas.microsoft.com/office/drawing/2014/main" id="{AA9C3360-58E9-4399-A006-C1749F82086F}"/>
            </a:ext>
          </a:extLst>
        </xdr:cNvPr>
        <xdr:cNvCxnSpPr/>
      </xdr:nvCxnSpPr>
      <xdr:spPr bwMode="auto">
        <a:xfrm>
          <a:off x="3698328" y="11613931"/>
          <a:ext cx="0" cy="794845"/>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4</xdr:col>
      <xdr:colOff>6570</xdr:colOff>
      <xdr:row>76</xdr:row>
      <xdr:rowOff>0</xdr:rowOff>
    </xdr:from>
    <xdr:to>
      <xdr:col>5</xdr:col>
      <xdr:colOff>1</xdr:colOff>
      <xdr:row>80</xdr:row>
      <xdr:rowOff>0</xdr:rowOff>
    </xdr:to>
    <xdr:sp macro="" textlink="">
      <xdr:nvSpPr>
        <xdr:cNvPr id="47" name="Freeform: Shape 46">
          <a:extLst>
            <a:ext uri="{FF2B5EF4-FFF2-40B4-BE49-F238E27FC236}">
              <a16:creationId xmlns:a16="http://schemas.microsoft.com/office/drawing/2014/main" id="{BD36E6C5-95F3-4E4D-BCE4-D172D749FFA3}"/>
            </a:ext>
          </a:extLst>
        </xdr:cNvPr>
        <xdr:cNvSpPr/>
      </xdr:nvSpPr>
      <xdr:spPr bwMode="auto">
        <a:xfrm>
          <a:off x="3704898" y="11613931"/>
          <a:ext cx="604344" cy="656897"/>
        </a:xfrm>
        <a:custGeom>
          <a:avLst/>
          <a:gdLst>
            <a:gd name="connsiteX0" fmla="*/ 0 w 610913"/>
            <a:gd name="connsiteY0" fmla="*/ 0 h 663466"/>
            <a:gd name="connsiteX1" fmla="*/ 151086 w 610913"/>
            <a:gd name="connsiteY1" fmla="*/ 413845 h 663466"/>
            <a:gd name="connsiteX2" fmla="*/ 610913 w 610913"/>
            <a:gd name="connsiteY2" fmla="*/ 663466 h 663466"/>
            <a:gd name="connsiteX0" fmla="*/ 0 w 610913"/>
            <a:gd name="connsiteY0" fmla="*/ 0 h 663466"/>
            <a:gd name="connsiteX1" fmla="*/ 216775 w 610913"/>
            <a:gd name="connsiteY1" fmla="*/ 459828 h 663466"/>
            <a:gd name="connsiteX2" fmla="*/ 610913 w 610913"/>
            <a:gd name="connsiteY2" fmla="*/ 663466 h 663466"/>
          </a:gdLst>
          <a:ahLst/>
          <a:cxnLst>
            <a:cxn ang="0">
              <a:pos x="connsiteX0" y="connsiteY0"/>
            </a:cxn>
            <a:cxn ang="0">
              <a:pos x="connsiteX1" y="connsiteY1"/>
            </a:cxn>
            <a:cxn ang="0">
              <a:pos x="connsiteX2" y="connsiteY2"/>
            </a:cxn>
          </a:cxnLst>
          <a:rect l="l" t="t" r="r" b="b"/>
          <a:pathLst>
            <a:path w="610913" h="663466">
              <a:moveTo>
                <a:pt x="0" y="0"/>
              </a:moveTo>
              <a:cubicBezTo>
                <a:pt x="24633" y="151633"/>
                <a:pt x="114956" y="349250"/>
                <a:pt x="216775" y="459828"/>
              </a:cubicBezTo>
              <a:cubicBezTo>
                <a:pt x="318594" y="570406"/>
                <a:pt x="431909" y="593944"/>
                <a:pt x="610913" y="663466"/>
              </a:cubicBezTo>
            </a:path>
          </a:pathLst>
        </a:cu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twoCellAnchor>
    <xdr:from>
      <xdr:col>4</xdr:col>
      <xdr:colOff>610913</xdr:colOff>
      <xdr:row>78</xdr:row>
      <xdr:rowOff>164224</xdr:rowOff>
    </xdr:from>
    <xdr:to>
      <xdr:col>4</xdr:col>
      <xdr:colOff>610913</xdr:colOff>
      <xdr:row>82</xdr:row>
      <xdr:rowOff>98534</xdr:rowOff>
    </xdr:to>
    <xdr:cxnSp macro="">
      <xdr:nvCxnSpPr>
        <xdr:cNvPr id="49" name="Straight Connector 48">
          <a:extLst>
            <a:ext uri="{FF2B5EF4-FFF2-40B4-BE49-F238E27FC236}">
              <a16:creationId xmlns:a16="http://schemas.microsoft.com/office/drawing/2014/main" id="{AB5F78B3-D74A-461F-AB5E-73D2F89B3A56}"/>
            </a:ext>
          </a:extLst>
        </xdr:cNvPr>
        <xdr:cNvCxnSpPr/>
      </xdr:nvCxnSpPr>
      <xdr:spPr bwMode="auto">
        <a:xfrm>
          <a:off x="4309241" y="12106603"/>
          <a:ext cx="0" cy="59120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164224</xdr:colOff>
      <xdr:row>82</xdr:row>
      <xdr:rowOff>658</xdr:rowOff>
    </xdr:from>
    <xdr:to>
      <xdr:col>5</xdr:col>
      <xdr:colOff>1313</xdr:colOff>
      <xdr:row>82</xdr:row>
      <xdr:rowOff>658</xdr:rowOff>
    </xdr:to>
    <xdr:cxnSp macro="">
      <xdr:nvCxnSpPr>
        <xdr:cNvPr id="51" name="Straight Arrow Connector 50">
          <a:extLst>
            <a:ext uri="{FF2B5EF4-FFF2-40B4-BE49-F238E27FC236}">
              <a16:creationId xmlns:a16="http://schemas.microsoft.com/office/drawing/2014/main" id="{3F9CAED8-D993-4310-BE9F-E19F590E4D13}"/>
            </a:ext>
          </a:extLst>
        </xdr:cNvPr>
        <xdr:cNvCxnSpPr/>
      </xdr:nvCxnSpPr>
      <xdr:spPr bwMode="auto">
        <a:xfrm>
          <a:off x="2031124" y="12440308"/>
          <a:ext cx="2275489"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4</xdr:col>
      <xdr:colOff>177362</xdr:colOff>
      <xdr:row>76</xdr:row>
      <xdr:rowOff>0</xdr:rowOff>
    </xdr:from>
    <xdr:to>
      <xdr:col>4</xdr:col>
      <xdr:colOff>177362</xdr:colOff>
      <xdr:row>80</xdr:row>
      <xdr:rowOff>137948</xdr:rowOff>
    </xdr:to>
    <xdr:cxnSp macro="">
      <xdr:nvCxnSpPr>
        <xdr:cNvPr id="56" name="Straight Connector 55">
          <a:extLst>
            <a:ext uri="{FF2B5EF4-FFF2-40B4-BE49-F238E27FC236}">
              <a16:creationId xmlns:a16="http://schemas.microsoft.com/office/drawing/2014/main" id="{FC3CC823-E7AD-464D-A68E-C9E80AF9A9F0}"/>
            </a:ext>
          </a:extLst>
        </xdr:cNvPr>
        <xdr:cNvCxnSpPr/>
      </xdr:nvCxnSpPr>
      <xdr:spPr bwMode="auto">
        <a:xfrm>
          <a:off x="3875690" y="11613931"/>
          <a:ext cx="0" cy="794845"/>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4</xdr:col>
      <xdr:colOff>183931</xdr:colOff>
      <xdr:row>80</xdr:row>
      <xdr:rowOff>111673</xdr:rowOff>
    </xdr:from>
    <xdr:to>
      <xdr:col>4</xdr:col>
      <xdr:colOff>610913</xdr:colOff>
      <xdr:row>80</xdr:row>
      <xdr:rowOff>111673</xdr:rowOff>
    </xdr:to>
    <xdr:cxnSp macro="">
      <xdr:nvCxnSpPr>
        <xdr:cNvPr id="57" name="Straight Arrow Connector 56">
          <a:extLst>
            <a:ext uri="{FF2B5EF4-FFF2-40B4-BE49-F238E27FC236}">
              <a16:creationId xmlns:a16="http://schemas.microsoft.com/office/drawing/2014/main" id="{F4DE9F45-2E17-4C76-B0E6-DBBEA278D1FA}"/>
            </a:ext>
          </a:extLst>
        </xdr:cNvPr>
        <xdr:cNvCxnSpPr/>
      </xdr:nvCxnSpPr>
      <xdr:spPr bwMode="auto">
        <a:xfrm>
          <a:off x="3882259" y="12382501"/>
          <a:ext cx="426982"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oneCellAnchor>
    <xdr:from>
      <xdr:col>4</xdr:col>
      <xdr:colOff>256189</xdr:colOff>
      <xdr:row>80</xdr:row>
      <xdr:rowOff>52552</xdr:rowOff>
    </xdr:from>
    <xdr:ext cx="279115" cy="248851"/>
    <xdr:sp macro="" textlink="">
      <xdr:nvSpPr>
        <xdr:cNvPr id="59" name="TextBox 58">
          <a:extLst>
            <a:ext uri="{FF2B5EF4-FFF2-40B4-BE49-F238E27FC236}">
              <a16:creationId xmlns:a16="http://schemas.microsoft.com/office/drawing/2014/main" id="{E9DA73A3-5EE4-43E1-A3AD-A9400637760B}"/>
            </a:ext>
          </a:extLst>
        </xdr:cNvPr>
        <xdr:cNvSpPr txBox="1"/>
      </xdr:nvSpPr>
      <xdr:spPr>
        <a:xfrm>
          <a:off x="3954517" y="12323380"/>
          <a:ext cx="27911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C</a:t>
          </a:r>
          <a:r>
            <a:rPr lang="en-US" sz="1000" baseline="-25000"/>
            <a:t>f</a:t>
          </a:r>
        </a:p>
      </xdr:txBody>
    </xdr:sp>
    <xdr:clientData/>
  </xdr:oneCellAnchor>
  <xdr:twoCellAnchor>
    <xdr:from>
      <xdr:col>1</xdr:col>
      <xdr:colOff>164224</xdr:colOff>
      <xdr:row>77</xdr:row>
      <xdr:rowOff>658</xdr:rowOff>
    </xdr:from>
    <xdr:to>
      <xdr:col>4</xdr:col>
      <xdr:colOff>190500</xdr:colOff>
      <xdr:row>77</xdr:row>
      <xdr:rowOff>658</xdr:rowOff>
    </xdr:to>
    <xdr:cxnSp macro="">
      <xdr:nvCxnSpPr>
        <xdr:cNvPr id="60" name="Straight Arrow Connector 59">
          <a:extLst>
            <a:ext uri="{FF2B5EF4-FFF2-40B4-BE49-F238E27FC236}">
              <a16:creationId xmlns:a16="http://schemas.microsoft.com/office/drawing/2014/main" id="{BDE9316E-2F1F-4DA7-8AD1-FA6430A979FA}"/>
            </a:ext>
          </a:extLst>
        </xdr:cNvPr>
        <xdr:cNvCxnSpPr/>
      </xdr:nvCxnSpPr>
      <xdr:spPr bwMode="auto">
        <a:xfrm>
          <a:off x="2031124" y="11630683"/>
          <a:ext cx="1855076"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6</xdr:col>
      <xdr:colOff>130926</xdr:colOff>
      <xdr:row>73</xdr:row>
      <xdr:rowOff>49696</xdr:rowOff>
    </xdr:from>
    <xdr:to>
      <xdr:col>10</xdr:col>
      <xdr:colOff>505239</xdr:colOff>
      <xdr:row>83</xdr:row>
      <xdr:rowOff>54621</xdr:rowOff>
    </xdr:to>
    <xdr:graphicFrame macro="">
      <xdr:nvGraphicFramePr>
        <xdr:cNvPr id="62" name="Chart 61">
          <a:extLst>
            <a:ext uri="{FF2B5EF4-FFF2-40B4-BE49-F238E27FC236}">
              <a16:creationId xmlns:a16="http://schemas.microsoft.com/office/drawing/2014/main" id="{CDF85109-A615-4DA8-8F30-DEFBD98B04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32</xdr:col>
      <xdr:colOff>0</xdr:colOff>
      <xdr:row>66</xdr:row>
      <xdr:rowOff>0</xdr:rowOff>
    </xdr:from>
    <xdr:to>
      <xdr:col>40</xdr:col>
      <xdr:colOff>446200</xdr:colOff>
      <xdr:row>83</xdr:row>
      <xdr:rowOff>6927</xdr:rowOff>
    </xdr:to>
    <xdr:graphicFrame macro="">
      <xdr:nvGraphicFramePr>
        <xdr:cNvPr id="52" name="Chart 51">
          <a:extLst>
            <a:ext uri="{FF2B5EF4-FFF2-40B4-BE49-F238E27FC236}">
              <a16:creationId xmlns:a16="http://schemas.microsoft.com/office/drawing/2014/main" id="{C9815355-3E21-4ADD-9107-06DB1D434B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571500</xdr:colOff>
      <xdr:row>38</xdr:row>
      <xdr:rowOff>0</xdr:rowOff>
    </xdr:from>
    <xdr:to>
      <xdr:col>10</xdr:col>
      <xdr:colOff>175846</xdr:colOff>
      <xdr:row>50</xdr:row>
      <xdr:rowOff>51289</xdr:rowOff>
    </xdr:to>
    <xdr:grpSp>
      <xdr:nvGrpSpPr>
        <xdr:cNvPr id="12" name="Group 11">
          <a:extLst>
            <a:ext uri="{FF2B5EF4-FFF2-40B4-BE49-F238E27FC236}">
              <a16:creationId xmlns:a16="http://schemas.microsoft.com/office/drawing/2014/main" id="{70355471-7406-4067-B486-DCABAEA0AA78}"/>
            </a:ext>
          </a:extLst>
        </xdr:cNvPr>
        <xdr:cNvGrpSpPr/>
      </xdr:nvGrpSpPr>
      <xdr:grpSpPr>
        <a:xfrm>
          <a:off x="571500" y="6286500"/>
          <a:ext cx="5768382" cy="2010718"/>
          <a:chOff x="571500" y="6213231"/>
          <a:chExt cx="10164782" cy="1985596"/>
        </a:xfrm>
      </xdr:grpSpPr>
      <xdr:grpSp>
        <xdr:nvGrpSpPr>
          <xdr:cNvPr id="20" name="Group 19">
            <a:extLst>
              <a:ext uri="{FF2B5EF4-FFF2-40B4-BE49-F238E27FC236}">
                <a16:creationId xmlns:a16="http://schemas.microsoft.com/office/drawing/2014/main" id="{EB1BCBB3-51D7-4CBF-B1B0-44011D7BC02B}"/>
              </a:ext>
            </a:extLst>
          </xdr:cNvPr>
          <xdr:cNvGrpSpPr/>
        </xdr:nvGrpSpPr>
        <xdr:grpSpPr>
          <a:xfrm>
            <a:off x="893885" y="6213231"/>
            <a:ext cx="4918563" cy="1289538"/>
            <a:chOff x="609600" y="6238875"/>
            <a:chExt cx="5524500" cy="1295400"/>
          </a:xfrm>
        </xdr:grpSpPr>
        <xdr:cxnSp macro="">
          <xdr:nvCxnSpPr>
            <xdr:cNvPr id="21" name="Straight Connector 20">
              <a:extLst>
                <a:ext uri="{FF2B5EF4-FFF2-40B4-BE49-F238E27FC236}">
                  <a16:creationId xmlns:a16="http://schemas.microsoft.com/office/drawing/2014/main" id="{C3BB41B9-DA99-4DB6-80D1-15E38BB5D0CA}"/>
                </a:ext>
              </a:extLst>
            </xdr:cNvPr>
            <xdr:cNvCxnSpPr/>
          </xdr:nvCxnSpPr>
          <xdr:spPr bwMode="auto">
            <a:xfrm>
              <a:off x="609600" y="6400800"/>
              <a:ext cx="0" cy="97155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2" name="Straight Connector 21">
              <a:extLst>
                <a:ext uri="{FF2B5EF4-FFF2-40B4-BE49-F238E27FC236}">
                  <a16:creationId xmlns:a16="http://schemas.microsoft.com/office/drawing/2014/main" id="{77C3D1D5-FB64-406B-98E1-5C918026EBD6}"/>
                </a:ext>
              </a:extLst>
            </xdr:cNvPr>
            <xdr:cNvCxnSpPr/>
          </xdr:nvCxnSpPr>
          <xdr:spPr bwMode="auto">
            <a:xfrm flipV="1">
              <a:off x="609600" y="6238875"/>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3" name="Straight Connector 22">
              <a:extLst>
                <a:ext uri="{FF2B5EF4-FFF2-40B4-BE49-F238E27FC236}">
                  <a16:creationId xmlns:a16="http://schemas.microsoft.com/office/drawing/2014/main" id="{B677CD62-2F32-4271-925F-F717410ED69F}"/>
                </a:ext>
              </a:extLst>
            </xdr:cNvPr>
            <xdr:cNvCxnSpPr/>
          </xdr:nvCxnSpPr>
          <xdr:spPr bwMode="auto">
            <a:xfrm>
              <a:off x="609600" y="7372350"/>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4" name="Straight Connector 23">
              <a:extLst>
                <a:ext uri="{FF2B5EF4-FFF2-40B4-BE49-F238E27FC236}">
                  <a16:creationId xmlns:a16="http://schemas.microsoft.com/office/drawing/2014/main" id="{6E4D3B0C-2C1B-4B37-B28C-130E222B07B5}"/>
                </a:ext>
              </a:extLst>
            </xdr:cNvPr>
            <xdr:cNvCxnSpPr/>
          </xdr:nvCxnSpPr>
          <xdr:spPr bwMode="auto">
            <a:xfrm>
              <a:off x="6134100" y="6238875"/>
              <a:ext cx="0" cy="12954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xnSp macro="">
        <xdr:nvCxnSpPr>
          <xdr:cNvPr id="26" name="Straight Connector 25">
            <a:extLst>
              <a:ext uri="{FF2B5EF4-FFF2-40B4-BE49-F238E27FC236}">
                <a16:creationId xmlns:a16="http://schemas.microsoft.com/office/drawing/2014/main" id="{501EF911-B4C6-491A-86C2-EE7C6EC8DDFB}"/>
              </a:ext>
            </a:extLst>
          </xdr:cNvPr>
          <xdr:cNvCxnSpPr/>
        </xdr:nvCxnSpPr>
        <xdr:spPr bwMode="auto">
          <a:xfrm>
            <a:off x="893885" y="7446352"/>
            <a:ext cx="0" cy="75247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7" name="Straight Connector 26">
            <a:extLst>
              <a:ext uri="{FF2B5EF4-FFF2-40B4-BE49-F238E27FC236}">
                <a16:creationId xmlns:a16="http://schemas.microsoft.com/office/drawing/2014/main" id="{4AAFEBFF-013D-42B5-9EB9-3F0C299D3564}"/>
              </a:ext>
            </a:extLst>
          </xdr:cNvPr>
          <xdr:cNvCxnSpPr/>
        </xdr:nvCxnSpPr>
        <xdr:spPr bwMode="auto">
          <a:xfrm>
            <a:off x="5812448" y="7588494"/>
            <a:ext cx="0" cy="25571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8" name="Straight Arrow Connector 27">
            <a:extLst>
              <a:ext uri="{FF2B5EF4-FFF2-40B4-BE49-F238E27FC236}">
                <a16:creationId xmlns:a16="http://schemas.microsoft.com/office/drawing/2014/main" id="{DDE5467F-1C24-4097-B0D3-0E4BC44B1CF0}"/>
              </a:ext>
            </a:extLst>
          </xdr:cNvPr>
          <xdr:cNvCxnSpPr/>
        </xdr:nvCxnSpPr>
        <xdr:spPr bwMode="auto">
          <a:xfrm>
            <a:off x="893885" y="7663229"/>
            <a:ext cx="4928088"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29" name="Straight Connector 28">
            <a:extLst>
              <a:ext uri="{FF2B5EF4-FFF2-40B4-BE49-F238E27FC236}">
                <a16:creationId xmlns:a16="http://schemas.microsoft.com/office/drawing/2014/main" id="{8840A445-9F61-45CE-B345-D56D6BCC8C5B}"/>
              </a:ext>
            </a:extLst>
          </xdr:cNvPr>
          <xdr:cNvCxnSpPr/>
        </xdr:nvCxnSpPr>
        <xdr:spPr bwMode="auto">
          <a:xfrm flipH="1">
            <a:off x="571500" y="6374423"/>
            <a:ext cx="274760"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0" name="Straight Connector 29">
            <a:extLst>
              <a:ext uri="{FF2B5EF4-FFF2-40B4-BE49-F238E27FC236}">
                <a16:creationId xmlns:a16="http://schemas.microsoft.com/office/drawing/2014/main" id="{891DD26B-8F1B-4F78-A54F-CFF37654DC88}"/>
              </a:ext>
            </a:extLst>
          </xdr:cNvPr>
          <xdr:cNvCxnSpPr/>
        </xdr:nvCxnSpPr>
        <xdr:spPr bwMode="auto">
          <a:xfrm flipH="1">
            <a:off x="571500" y="7341577"/>
            <a:ext cx="274760"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1" name="Straight Arrow Connector 30">
            <a:extLst>
              <a:ext uri="{FF2B5EF4-FFF2-40B4-BE49-F238E27FC236}">
                <a16:creationId xmlns:a16="http://schemas.microsoft.com/office/drawing/2014/main" id="{DB214C50-28C9-4AF6-A8E4-08B25AB7C2C3}"/>
              </a:ext>
            </a:extLst>
          </xdr:cNvPr>
          <xdr:cNvCxnSpPr/>
        </xdr:nvCxnSpPr>
        <xdr:spPr bwMode="auto">
          <a:xfrm>
            <a:off x="613290" y="6374423"/>
            <a:ext cx="0" cy="976679"/>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32" name="Straight Connector 31">
            <a:extLst>
              <a:ext uri="{FF2B5EF4-FFF2-40B4-BE49-F238E27FC236}">
                <a16:creationId xmlns:a16="http://schemas.microsoft.com/office/drawing/2014/main" id="{72B1BF52-BA28-48B1-B1CB-0177DC672615}"/>
              </a:ext>
            </a:extLst>
          </xdr:cNvPr>
          <xdr:cNvCxnSpPr/>
        </xdr:nvCxnSpPr>
        <xdr:spPr bwMode="auto">
          <a:xfrm>
            <a:off x="4951975" y="6213231"/>
            <a:ext cx="805903"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3" name="Straight Connector 32">
            <a:extLst>
              <a:ext uri="{FF2B5EF4-FFF2-40B4-BE49-F238E27FC236}">
                <a16:creationId xmlns:a16="http://schemas.microsoft.com/office/drawing/2014/main" id="{DDEB9BF5-C027-4D6C-AFA7-CBA558415C18}"/>
              </a:ext>
            </a:extLst>
          </xdr:cNvPr>
          <xdr:cNvCxnSpPr/>
        </xdr:nvCxnSpPr>
        <xdr:spPr bwMode="auto">
          <a:xfrm flipH="1">
            <a:off x="4938978" y="7502769"/>
            <a:ext cx="766907"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4" name="Straight Arrow Connector 33">
            <a:extLst>
              <a:ext uri="{FF2B5EF4-FFF2-40B4-BE49-F238E27FC236}">
                <a16:creationId xmlns:a16="http://schemas.microsoft.com/office/drawing/2014/main" id="{E605E0AB-3FFF-43FE-927D-1C22D7A545E3}"/>
              </a:ext>
            </a:extLst>
          </xdr:cNvPr>
          <xdr:cNvCxnSpPr/>
        </xdr:nvCxnSpPr>
        <xdr:spPr bwMode="auto">
          <a:xfrm>
            <a:off x="5339129" y="6222756"/>
            <a:ext cx="0" cy="1280013"/>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35" name="Straight Connector 34">
            <a:extLst>
              <a:ext uri="{FF2B5EF4-FFF2-40B4-BE49-F238E27FC236}">
                <a16:creationId xmlns:a16="http://schemas.microsoft.com/office/drawing/2014/main" id="{C7F35BC7-6EC1-4D65-B0B3-F4065A227A07}"/>
              </a:ext>
            </a:extLst>
          </xdr:cNvPr>
          <xdr:cNvCxnSpPr/>
        </xdr:nvCxnSpPr>
        <xdr:spPr bwMode="auto">
          <a:xfrm flipV="1">
            <a:off x="816494" y="6696808"/>
            <a:ext cx="5147163" cy="5953"/>
          </a:xfrm>
          <a:prstGeom prst="line">
            <a:avLst/>
          </a:prstGeom>
          <a:solidFill>
            <a:srgbClr val="FFFFFF"/>
          </a:solidFill>
          <a:ln w="9525" cap="flat" cmpd="sng" algn="ctr">
            <a:solidFill>
              <a:srgbClr val="000000"/>
            </a:solidFill>
            <a:prstDash val="lgDash"/>
            <a:round/>
            <a:headEnd type="none" w="med" len="med"/>
            <a:tailEnd type="none" w="med" len="med"/>
          </a:ln>
          <a:effectLst/>
        </xdr:spPr>
      </xdr:cxnSp>
      <xdr:cxnSp macro="">
        <xdr:nvCxnSpPr>
          <xdr:cNvPr id="36" name="Straight Arrow Connector 35">
            <a:extLst>
              <a:ext uri="{FF2B5EF4-FFF2-40B4-BE49-F238E27FC236}">
                <a16:creationId xmlns:a16="http://schemas.microsoft.com/office/drawing/2014/main" id="{2B7A2F30-D181-4D03-9072-D1B8F4752784}"/>
              </a:ext>
            </a:extLst>
          </xdr:cNvPr>
          <xdr:cNvCxnSpPr/>
        </xdr:nvCxnSpPr>
        <xdr:spPr bwMode="auto">
          <a:xfrm>
            <a:off x="5589680" y="6222756"/>
            <a:ext cx="0" cy="46764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37" name="Straight Arrow Connector 36">
            <a:extLst>
              <a:ext uri="{FF2B5EF4-FFF2-40B4-BE49-F238E27FC236}">
                <a16:creationId xmlns:a16="http://schemas.microsoft.com/office/drawing/2014/main" id="{A7F5129B-A2F5-44E0-9BDA-1556DF76F25C}"/>
              </a:ext>
            </a:extLst>
          </xdr:cNvPr>
          <xdr:cNvCxnSpPr/>
        </xdr:nvCxnSpPr>
        <xdr:spPr bwMode="auto">
          <a:xfrm>
            <a:off x="769165" y="6374423"/>
            <a:ext cx="0" cy="334291"/>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78" name="Straight Arrow Connector 77">
            <a:extLst>
              <a:ext uri="{FF2B5EF4-FFF2-40B4-BE49-F238E27FC236}">
                <a16:creationId xmlns:a16="http://schemas.microsoft.com/office/drawing/2014/main" id="{32A1F008-9093-4DC1-A3E0-A2A0020AD484}"/>
              </a:ext>
            </a:extLst>
          </xdr:cNvPr>
          <xdr:cNvCxnSpPr/>
        </xdr:nvCxnSpPr>
        <xdr:spPr bwMode="auto">
          <a:xfrm>
            <a:off x="893885" y="7985613"/>
            <a:ext cx="9842397"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79" name="Straight Connector 78">
            <a:extLst>
              <a:ext uri="{FF2B5EF4-FFF2-40B4-BE49-F238E27FC236}">
                <a16:creationId xmlns:a16="http://schemas.microsoft.com/office/drawing/2014/main" id="{27715ABD-08F7-41EC-9CAD-C10B8A83C3F4}"/>
              </a:ext>
            </a:extLst>
          </xdr:cNvPr>
          <xdr:cNvCxnSpPr/>
        </xdr:nvCxnSpPr>
        <xdr:spPr bwMode="auto">
          <a:xfrm>
            <a:off x="10733706" y="7446352"/>
            <a:ext cx="0" cy="75247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xdr:from>
      <xdr:col>5</xdr:col>
      <xdr:colOff>357905</xdr:colOff>
      <xdr:row>38</xdr:row>
      <xdr:rowOff>0</xdr:rowOff>
    </xdr:from>
    <xdr:to>
      <xdr:col>10</xdr:col>
      <xdr:colOff>218570</xdr:colOff>
      <xdr:row>46</xdr:row>
      <xdr:rowOff>0</xdr:rowOff>
    </xdr:to>
    <xdr:grpSp>
      <xdr:nvGrpSpPr>
        <xdr:cNvPr id="54" name="Group 53">
          <a:extLst>
            <a:ext uri="{FF2B5EF4-FFF2-40B4-BE49-F238E27FC236}">
              <a16:creationId xmlns:a16="http://schemas.microsoft.com/office/drawing/2014/main" id="{7658010A-B769-4A35-AE3B-A991926D9C4E}"/>
            </a:ext>
          </a:extLst>
        </xdr:cNvPr>
        <xdr:cNvGrpSpPr/>
      </xdr:nvGrpSpPr>
      <xdr:grpSpPr>
        <a:xfrm flipH="1">
          <a:off x="3460334" y="6286500"/>
          <a:ext cx="2922272" cy="1306286"/>
          <a:chOff x="816494" y="6213231"/>
          <a:chExt cx="5147163" cy="1289538"/>
        </a:xfrm>
      </xdr:grpSpPr>
      <xdr:grpSp>
        <xdr:nvGrpSpPr>
          <xdr:cNvPr id="55" name="Group 54">
            <a:extLst>
              <a:ext uri="{FF2B5EF4-FFF2-40B4-BE49-F238E27FC236}">
                <a16:creationId xmlns:a16="http://schemas.microsoft.com/office/drawing/2014/main" id="{C4722349-08B4-4727-9874-F38BAC5C83DA}"/>
              </a:ext>
            </a:extLst>
          </xdr:cNvPr>
          <xdr:cNvGrpSpPr/>
        </xdr:nvGrpSpPr>
        <xdr:grpSpPr>
          <a:xfrm>
            <a:off x="893885" y="6213231"/>
            <a:ext cx="4918563" cy="1289538"/>
            <a:chOff x="609600" y="6238875"/>
            <a:chExt cx="5524500" cy="1295400"/>
          </a:xfrm>
        </xdr:grpSpPr>
        <xdr:cxnSp macro="">
          <xdr:nvCxnSpPr>
            <xdr:cNvPr id="73" name="Straight Connector 72">
              <a:extLst>
                <a:ext uri="{FF2B5EF4-FFF2-40B4-BE49-F238E27FC236}">
                  <a16:creationId xmlns:a16="http://schemas.microsoft.com/office/drawing/2014/main" id="{BADE0DF9-2891-4D82-B452-5C1F86623ABA}"/>
                </a:ext>
              </a:extLst>
            </xdr:cNvPr>
            <xdr:cNvCxnSpPr/>
          </xdr:nvCxnSpPr>
          <xdr:spPr bwMode="auto">
            <a:xfrm>
              <a:off x="609600" y="6400800"/>
              <a:ext cx="0" cy="97155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74" name="Straight Connector 73">
              <a:extLst>
                <a:ext uri="{FF2B5EF4-FFF2-40B4-BE49-F238E27FC236}">
                  <a16:creationId xmlns:a16="http://schemas.microsoft.com/office/drawing/2014/main" id="{2A6F528F-DCC1-4304-83D9-15480C0B4F2A}"/>
                </a:ext>
              </a:extLst>
            </xdr:cNvPr>
            <xdr:cNvCxnSpPr/>
          </xdr:nvCxnSpPr>
          <xdr:spPr bwMode="auto">
            <a:xfrm flipV="1">
              <a:off x="609600" y="6238875"/>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75" name="Straight Connector 74">
              <a:extLst>
                <a:ext uri="{FF2B5EF4-FFF2-40B4-BE49-F238E27FC236}">
                  <a16:creationId xmlns:a16="http://schemas.microsoft.com/office/drawing/2014/main" id="{91BB0FFF-C230-404A-9F33-CC6F496D5C96}"/>
                </a:ext>
              </a:extLst>
            </xdr:cNvPr>
            <xdr:cNvCxnSpPr/>
          </xdr:nvCxnSpPr>
          <xdr:spPr bwMode="auto">
            <a:xfrm>
              <a:off x="609600" y="7372350"/>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76" name="Straight Connector 75">
              <a:extLst>
                <a:ext uri="{FF2B5EF4-FFF2-40B4-BE49-F238E27FC236}">
                  <a16:creationId xmlns:a16="http://schemas.microsoft.com/office/drawing/2014/main" id="{F1FE8F35-8F89-460B-8A8F-DCCFE128D639}"/>
                </a:ext>
              </a:extLst>
            </xdr:cNvPr>
            <xdr:cNvCxnSpPr/>
          </xdr:nvCxnSpPr>
          <xdr:spPr bwMode="auto">
            <a:xfrm>
              <a:off x="6134100" y="6238875"/>
              <a:ext cx="0" cy="12954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xnSp macro="">
        <xdr:nvCxnSpPr>
          <xdr:cNvPr id="70" name="Straight Connector 69">
            <a:extLst>
              <a:ext uri="{FF2B5EF4-FFF2-40B4-BE49-F238E27FC236}">
                <a16:creationId xmlns:a16="http://schemas.microsoft.com/office/drawing/2014/main" id="{40944112-EC3E-475D-B42A-45956799A92C}"/>
              </a:ext>
            </a:extLst>
          </xdr:cNvPr>
          <xdr:cNvCxnSpPr/>
        </xdr:nvCxnSpPr>
        <xdr:spPr bwMode="auto">
          <a:xfrm flipV="1">
            <a:off x="816494" y="6696808"/>
            <a:ext cx="5147163" cy="5953"/>
          </a:xfrm>
          <a:prstGeom prst="line">
            <a:avLst/>
          </a:prstGeom>
          <a:solidFill>
            <a:srgbClr val="FFFFFF"/>
          </a:solidFill>
          <a:ln w="9525" cap="flat" cmpd="sng" algn="ctr">
            <a:solidFill>
              <a:srgbClr val="000000"/>
            </a:solidFill>
            <a:prstDash val="lgDash"/>
            <a:round/>
            <a:headEnd type="none" w="med" len="med"/>
            <a:tailEnd type="none" w="med" len="med"/>
          </a:ln>
          <a:effectLst/>
        </xdr:spPr>
      </xdr:cxnSp>
    </xdr:grpSp>
    <xdr:clientData/>
  </xdr:twoCellAnchor>
  <xdr:twoCellAnchor>
    <xdr:from>
      <xdr:col>74</xdr:col>
      <xdr:colOff>523874</xdr:colOff>
      <xdr:row>46</xdr:row>
      <xdr:rowOff>16328</xdr:rowOff>
    </xdr:from>
    <xdr:to>
      <xdr:col>82</xdr:col>
      <xdr:colOff>156482</xdr:colOff>
      <xdr:row>67</xdr:row>
      <xdr:rowOff>146957</xdr:rowOff>
    </xdr:to>
    <xdr:graphicFrame macro="">
      <xdr:nvGraphicFramePr>
        <xdr:cNvPr id="19" name="Chart 18">
          <a:extLst>
            <a:ext uri="{FF2B5EF4-FFF2-40B4-BE49-F238E27FC236}">
              <a16:creationId xmlns:a16="http://schemas.microsoft.com/office/drawing/2014/main" id="{29995E54-722A-4F1F-AC28-575380447D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2" name="Group 1">
          <a:extLst>
            <a:ext uri="{FF2B5EF4-FFF2-40B4-BE49-F238E27FC236}">
              <a16:creationId xmlns:a16="http://schemas.microsoft.com/office/drawing/2014/main" id="{4590D947-0E04-4263-97B5-3CA2DBACF34E}"/>
            </a:ext>
          </a:extLst>
        </xdr:cNvPr>
        <xdr:cNvGrpSpPr/>
      </xdr:nvGrpSpPr>
      <xdr:grpSpPr>
        <a:xfrm>
          <a:off x="40822" y="1174296"/>
          <a:ext cx="2502353" cy="590190"/>
          <a:chOff x="40822" y="1267641"/>
          <a:chExt cx="2570933" cy="630195"/>
        </a:xfrm>
      </xdr:grpSpPr>
      <xdr:pic>
        <xdr:nvPicPr>
          <xdr:cNvPr id="3" name="Picture 2">
            <a:hlinkClick xmlns:r="http://schemas.openxmlformats.org/officeDocument/2006/relationships" r:id="rId1"/>
            <a:extLst>
              <a:ext uri="{FF2B5EF4-FFF2-40B4-BE49-F238E27FC236}">
                <a16:creationId xmlns:a16="http://schemas.microsoft.com/office/drawing/2014/main" id="{37F75CAE-5A05-4A09-A885-6A03C62432C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 name="Picture 3" descr="PayPal - The safer, easier way to pay online!">
            <a:hlinkClick xmlns:r="http://schemas.openxmlformats.org/officeDocument/2006/relationships" r:id="rId3"/>
            <a:extLst>
              <a:ext uri="{FF2B5EF4-FFF2-40B4-BE49-F238E27FC236}">
                <a16:creationId xmlns:a16="http://schemas.microsoft.com/office/drawing/2014/main" id="{C9F7C0B0-A5DD-4B5E-AE8D-518A1C5FA56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64</xdr:row>
      <xdr:rowOff>40821</xdr:rowOff>
    </xdr:from>
    <xdr:to>
      <xdr:col>4</xdr:col>
      <xdr:colOff>66675</xdr:colOff>
      <xdr:row>67</xdr:row>
      <xdr:rowOff>145236</xdr:rowOff>
    </xdr:to>
    <xdr:grpSp>
      <xdr:nvGrpSpPr>
        <xdr:cNvPr id="5" name="Group 4">
          <a:extLst>
            <a:ext uri="{FF2B5EF4-FFF2-40B4-BE49-F238E27FC236}">
              <a16:creationId xmlns:a16="http://schemas.microsoft.com/office/drawing/2014/main" id="{F60D623F-1BDC-420C-8813-46D29312FCB8}"/>
            </a:ext>
          </a:extLst>
        </xdr:cNvPr>
        <xdr:cNvGrpSpPr/>
      </xdr:nvGrpSpPr>
      <xdr:grpSpPr>
        <a:xfrm>
          <a:off x="40822" y="10489746"/>
          <a:ext cx="2502353" cy="590190"/>
          <a:chOff x="40822" y="1267641"/>
          <a:chExt cx="2570933" cy="630195"/>
        </a:xfrm>
      </xdr:grpSpPr>
      <xdr:pic>
        <xdr:nvPicPr>
          <xdr:cNvPr id="6" name="Picture 5">
            <a:hlinkClick xmlns:r="http://schemas.openxmlformats.org/officeDocument/2006/relationships" r:id="rId1"/>
            <a:extLst>
              <a:ext uri="{FF2B5EF4-FFF2-40B4-BE49-F238E27FC236}">
                <a16:creationId xmlns:a16="http://schemas.microsoft.com/office/drawing/2014/main" id="{C3BCA93A-BF1B-4498-8AF5-6A0C967B198B}"/>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3"/>
            <a:extLst>
              <a:ext uri="{FF2B5EF4-FFF2-40B4-BE49-F238E27FC236}">
                <a16:creationId xmlns:a16="http://schemas.microsoft.com/office/drawing/2014/main" id="{D8AEFA50-5572-40DB-847F-04B9C4417A4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52</xdr:col>
      <xdr:colOff>104650</xdr:colOff>
      <xdr:row>36</xdr:row>
      <xdr:rowOff>108115</xdr:rowOff>
    </xdr:from>
    <xdr:to>
      <xdr:col>62</xdr:col>
      <xdr:colOff>103888</xdr:colOff>
      <xdr:row>72</xdr:row>
      <xdr:rowOff>25747</xdr:rowOff>
    </xdr:to>
    <xdr:pic>
      <xdr:nvPicPr>
        <xdr:cNvPr id="13" name="Picture 12">
          <a:extLst>
            <a:ext uri="{FF2B5EF4-FFF2-40B4-BE49-F238E27FC236}">
              <a16:creationId xmlns:a16="http://schemas.microsoft.com/office/drawing/2014/main" id="{4A4504CA-CB6B-4CD6-B3B7-7AD773624B2F}"/>
            </a:ext>
          </a:extLst>
        </xdr:cNvPr>
        <xdr:cNvPicPr>
          <a:picLocks noChangeAspect="1"/>
        </xdr:cNvPicPr>
      </xdr:nvPicPr>
      <xdr:blipFill>
        <a:blip xmlns:r="http://schemas.openxmlformats.org/officeDocument/2006/relationships" r:embed="rId5"/>
        <a:stretch>
          <a:fillRect/>
        </a:stretch>
      </xdr:blipFill>
      <xdr:spPr>
        <a:xfrm>
          <a:off x="28927300" y="6023140"/>
          <a:ext cx="6095238" cy="5785032"/>
        </a:xfrm>
        <a:prstGeom prst="rect">
          <a:avLst/>
        </a:prstGeom>
      </xdr:spPr>
    </xdr:pic>
    <xdr:clientData/>
  </xdr:twoCellAnchor>
  <xdr:twoCellAnchor>
    <xdr:from>
      <xdr:col>1</xdr:col>
      <xdr:colOff>0</xdr:colOff>
      <xdr:row>84</xdr:row>
      <xdr:rowOff>112058</xdr:rowOff>
    </xdr:from>
    <xdr:to>
      <xdr:col>10</xdr:col>
      <xdr:colOff>0</xdr:colOff>
      <xdr:row>105</xdr:row>
      <xdr:rowOff>112058</xdr:rowOff>
    </xdr:to>
    <xdr:graphicFrame macro="">
      <xdr:nvGraphicFramePr>
        <xdr:cNvPr id="26" name="Chart 25">
          <a:extLst>
            <a:ext uri="{FF2B5EF4-FFF2-40B4-BE49-F238E27FC236}">
              <a16:creationId xmlns:a16="http://schemas.microsoft.com/office/drawing/2014/main" id="{E4E449C6-885C-4448-AD6B-BFABCA4C2E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106</xdr:row>
      <xdr:rowOff>78440</xdr:rowOff>
    </xdr:from>
    <xdr:to>
      <xdr:col>4</xdr:col>
      <xdr:colOff>0</xdr:colOff>
      <xdr:row>106</xdr:row>
      <xdr:rowOff>78440</xdr:rowOff>
    </xdr:to>
    <xdr:cxnSp macro="">
      <xdr:nvCxnSpPr>
        <xdr:cNvPr id="27" name="Straight Connector 26">
          <a:extLst>
            <a:ext uri="{FF2B5EF4-FFF2-40B4-BE49-F238E27FC236}">
              <a16:creationId xmlns:a16="http://schemas.microsoft.com/office/drawing/2014/main" id="{A006C7FB-4DBE-4A03-A565-027F38C6B6AA}"/>
            </a:ext>
          </a:extLst>
        </xdr:cNvPr>
        <xdr:cNvCxnSpPr/>
      </xdr:nvCxnSpPr>
      <xdr:spPr bwMode="auto">
        <a:xfrm>
          <a:off x="1866900" y="16566215"/>
          <a:ext cx="6096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3</xdr:col>
      <xdr:colOff>0</xdr:colOff>
      <xdr:row>107</xdr:row>
      <xdr:rowOff>78440</xdr:rowOff>
    </xdr:from>
    <xdr:to>
      <xdr:col>4</xdr:col>
      <xdr:colOff>0</xdr:colOff>
      <xdr:row>107</xdr:row>
      <xdr:rowOff>78440</xdr:rowOff>
    </xdr:to>
    <xdr:cxnSp macro="">
      <xdr:nvCxnSpPr>
        <xdr:cNvPr id="28" name="Straight Connector 27">
          <a:extLst>
            <a:ext uri="{FF2B5EF4-FFF2-40B4-BE49-F238E27FC236}">
              <a16:creationId xmlns:a16="http://schemas.microsoft.com/office/drawing/2014/main" id="{AED89775-FA2E-451D-B2CD-9ED4F13ACEE2}"/>
            </a:ext>
          </a:extLst>
        </xdr:cNvPr>
        <xdr:cNvCxnSpPr/>
      </xdr:nvCxnSpPr>
      <xdr:spPr bwMode="auto">
        <a:xfrm>
          <a:off x="1866900" y="16728140"/>
          <a:ext cx="609600" cy="0"/>
        </a:xfrm>
        <a:prstGeom prst="line">
          <a:avLst/>
        </a:prstGeom>
        <a:solidFill>
          <a:srgbClr val="FFFFFF"/>
        </a:solidFill>
        <a:ln w="19050" cap="flat" cmpd="sng" algn="ctr">
          <a:solidFill>
            <a:srgbClr val="000000"/>
          </a:solidFill>
          <a:prstDash val="sysDash"/>
          <a:round/>
          <a:headEnd type="none" w="med" len="med"/>
          <a:tailEnd type="none" w="med" len="med"/>
        </a:ln>
        <a:effectLst/>
      </xdr:spPr>
    </xdr:cxnSp>
    <xdr:clientData/>
  </xdr:twoCellAnchor>
  <xdr:twoCellAnchor>
    <xdr:from>
      <xdr:col>3</xdr:col>
      <xdr:colOff>163286</xdr:colOff>
      <xdr:row>73</xdr:row>
      <xdr:rowOff>0</xdr:rowOff>
    </xdr:from>
    <xdr:to>
      <xdr:col>3</xdr:col>
      <xdr:colOff>163286</xdr:colOff>
      <xdr:row>80</xdr:row>
      <xdr:rowOff>0</xdr:rowOff>
    </xdr:to>
    <xdr:cxnSp macro="">
      <xdr:nvCxnSpPr>
        <xdr:cNvPr id="29" name="Straight Connector 28">
          <a:extLst>
            <a:ext uri="{FF2B5EF4-FFF2-40B4-BE49-F238E27FC236}">
              <a16:creationId xmlns:a16="http://schemas.microsoft.com/office/drawing/2014/main" id="{66F86D8F-77D4-4E99-8E31-23E74355666A}"/>
            </a:ext>
          </a:extLst>
        </xdr:cNvPr>
        <xdr:cNvCxnSpPr/>
      </xdr:nvCxnSpPr>
      <xdr:spPr bwMode="auto">
        <a:xfrm>
          <a:off x="2030186" y="11144250"/>
          <a:ext cx="0" cy="113347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0</xdr:colOff>
      <xdr:row>79</xdr:row>
      <xdr:rowOff>0</xdr:rowOff>
    </xdr:from>
    <xdr:to>
      <xdr:col>8</xdr:col>
      <xdr:colOff>0</xdr:colOff>
      <xdr:row>79</xdr:row>
      <xdr:rowOff>0</xdr:rowOff>
    </xdr:to>
    <xdr:cxnSp macro="">
      <xdr:nvCxnSpPr>
        <xdr:cNvPr id="30" name="Straight Connector 29">
          <a:extLst>
            <a:ext uri="{FF2B5EF4-FFF2-40B4-BE49-F238E27FC236}">
              <a16:creationId xmlns:a16="http://schemas.microsoft.com/office/drawing/2014/main" id="{80706772-ED3F-4DA9-9255-E1C10C07E36C}"/>
            </a:ext>
          </a:extLst>
        </xdr:cNvPr>
        <xdr:cNvCxnSpPr/>
      </xdr:nvCxnSpPr>
      <xdr:spPr bwMode="auto">
        <a:xfrm>
          <a:off x="1866900" y="12115800"/>
          <a:ext cx="3048000"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168520</xdr:colOff>
      <xdr:row>75</xdr:row>
      <xdr:rowOff>7327</xdr:rowOff>
    </xdr:from>
    <xdr:to>
      <xdr:col>7</xdr:col>
      <xdr:colOff>0</xdr:colOff>
      <xdr:row>77</xdr:row>
      <xdr:rowOff>0</xdr:rowOff>
    </xdr:to>
    <xdr:cxnSp macro="">
      <xdr:nvCxnSpPr>
        <xdr:cNvPr id="31" name="Straight Connector 30">
          <a:extLst>
            <a:ext uri="{FF2B5EF4-FFF2-40B4-BE49-F238E27FC236}">
              <a16:creationId xmlns:a16="http://schemas.microsoft.com/office/drawing/2014/main" id="{3A607AC2-008C-485A-ABD0-7A3DA7C5F979}"/>
            </a:ext>
          </a:extLst>
        </xdr:cNvPr>
        <xdr:cNvCxnSpPr/>
      </xdr:nvCxnSpPr>
      <xdr:spPr bwMode="auto">
        <a:xfrm>
          <a:off x="2035420" y="11475427"/>
          <a:ext cx="2269880" cy="31652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7</xdr:col>
      <xdr:colOff>0</xdr:colOff>
      <xdr:row>77</xdr:row>
      <xdr:rowOff>0</xdr:rowOff>
    </xdr:from>
    <xdr:to>
      <xdr:col>7</xdr:col>
      <xdr:colOff>0</xdr:colOff>
      <xdr:row>79</xdr:row>
      <xdr:rowOff>0</xdr:rowOff>
    </xdr:to>
    <xdr:cxnSp macro="">
      <xdr:nvCxnSpPr>
        <xdr:cNvPr id="32" name="Straight Connector 31">
          <a:extLst>
            <a:ext uri="{FF2B5EF4-FFF2-40B4-BE49-F238E27FC236}">
              <a16:creationId xmlns:a16="http://schemas.microsoft.com/office/drawing/2014/main" id="{D0022D48-EB62-4C82-8E2C-EC050E08D0FE}"/>
            </a:ext>
          </a:extLst>
        </xdr:cNvPr>
        <xdr:cNvCxnSpPr/>
      </xdr:nvCxnSpPr>
      <xdr:spPr bwMode="auto">
        <a:xfrm>
          <a:off x="4305300" y="11791950"/>
          <a:ext cx="0" cy="32385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0</xdr:col>
      <xdr:colOff>571500</xdr:colOff>
      <xdr:row>36</xdr:row>
      <xdr:rowOff>0</xdr:rowOff>
    </xdr:from>
    <xdr:to>
      <xdr:col>10</xdr:col>
      <xdr:colOff>499241</xdr:colOff>
      <xdr:row>48</xdr:row>
      <xdr:rowOff>65690</xdr:rowOff>
    </xdr:to>
    <xdr:grpSp>
      <xdr:nvGrpSpPr>
        <xdr:cNvPr id="42" name="Group 41">
          <a:extLst>
            <a:ext uri="{FF2B5EF4-FFF2-40B4-BE49-F238E27FC236}">
              <a16:creationId xmlns:a16="http://schemas.microsoft.com/office/drawing/2014/main" id="{775EDBA3-E745-4447-A040-5B77A54E7EF6}"/>
            </a:ext>
          </a:extLst>
        </xdr:cNvPr>
        <xdr:cNvGrpSpPr/>
      </xdr:nvGrpSpPr>
      <xdr:grpSpPr>
        <a:xfrm>
          <a:off x="571500" y="5915025"/>
          <a:ext cx="6061841" cy="2008790"/>
          <a:chOff x="571500" y="6319345"/>
          <a:chExt cx="10169477" cy="2036379"/>
        </a:xfrm>
      </xdr:grpSpPr>
      <xdr:grpSp>
        <xdr:nvGrpSpPr>
          <xdr:cNvPr id="8" name="Group 7">
            <a:extLst>
              <a:ext uri="{FF2B5EF4-FFF2-40B4-BE49-F238E27FC236}">
                <a16:creationId xmlns:a16="http://schemas.microsoft.com/office/drawing/2014/main" id="{FFBB6D1B-49A2-4875-BF3C-2ED45499E118}"/>
              </a:ext>
            </a:extLst>
          </xdr:cNvPr>
          <xdr:cNvGrpSpPr/>
        </xdr:nvGrpSpPr>
        <xdr:grpSpPr>
          <a:xfrm>
            <a:off x="896664" y="6319345"/>
            <a:ext cx="4929680" cy="1313793"/>
            <a:chOff x="609600" y="6238875"/>
            <a:chExt cx="5524500" cy="1295400"/>
          </a:xfrm>
        </xdr:grpSpPr>
        <xdr:cxnSp macro="">
          <xdr:nvCxnSpPr>
            <xdr:cNvPr id="9" name="Straight Connector 8">
              <a:extLst>
                <a:ext uri="{FF2B5EF4-FFF2-40B4-BE49-F238E27FC236}">
                  <a16:creationId xmlns:a16="http://schemas.microsoft.com/office/drawing/2014/main" id="{7FAB053D-ED2E-465A-A6BD-0C77E0AD0081}"/>
                </a:ext>
              </a:extLst>
            </xdr:cNvPr>
            <xdr:cNvCxnSpPr/>
          </xdr:nvCxnSpPr>
          <xdr:spPr bwMode="auto">
            <a:xfrm>
              <a:off x="609600" y="6238875"/>
              <a:ext cx="0" cy="97802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0" name="Straight Connector 9">
              <a:extLst>
                <a:ext uri="{FF2B5EF4-FFF2-40B4-BE49-F238E27FC236}">
                  <a16:creationId xmlns:a16="http://schemas.microsoft.com/office/drawing/2014/main" id="{BDD66C55-6E50-48A9-872C-1B63EEAA1A08}"/>
                </a:ext>
              </a:extLst>
            </xdr:cNvPr>
            <xdr:cNvCxnSpPr/>
          </xdr:nvCxnSpPr>
          <xdr:spPr bwMode="auto">
            <a:xfrm>
              <a:off x="627554" y="6238875"/>
              <a:ext cx="550654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1" name="Straight Connector 10">
              <a:extLst>
                <a:ext uri="{FF2B5EF4-FFF2-40B4-BE49-F238E27FC236}">
                  <a16:creationId xmlns:a16="http://schemas.microsoft.com/office/drawing/2014/main" id="{A075AADC-E7D7-4209-B063-53E319FC83A7}"/>
                </a:ext>
              </a:extLst>
            </xdr:cNvPr>
            <xdr:cNvCxnSpPr/>
          </xdr:nvCxnSpPr>
          <xdr:spPr bwMode="auto">
            <a:xfrm>
              <a:off x="627554" y="7229856"/>
              <a:ext cx="5506546" cy="30441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2" name="Straight Connector 11">
              <a:extLst>
                <a:ext uri="{FF2B5EF4-FFF2-40B4-BE49-F238E27FC236}">
                  <a16:creationId xmlns:a16="http://schemas.microsoft.com/office/drawing/2014/main" id="{FAEB4164-89A8-4298-B46A-EB29DD57F4C2}"/>
                </a:ext>
              </a:extLst>
            </xdr:cNvPr>
            <xdr:cNvCxnSpPr/>
          </xdr:nvCxnSpPr>
          <xdr:spPr bwMode="auto">
            <a:xfrm>
              <a:off x="6134100" y="6238875"/>
              <a:ext cx="0" cy="12954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xnSp macro="">
        <xdr:nvCxnSpPr>
          <xdr:cNvPr id="14" name="Straight Connector 13">
            <a:extLst>
              <a:ext uri="{FF2B5EF4-FFF2-40B4-BE49-F238E27FC236}">
                <a16:creationId xmlns:a16="http://schemas.microsoft.com/office/drawing/2014/main" id="{681B629C-C35E-4D6F-8971-05875F9D8C5F}"/>
              </a:ext>
            </a:extLst>
          </xdr:cNvPr>
          <xdr:cNvCxnSpPr/>
        </xdr:nvCxnSpPr>
        <xdr:spPr bwMode="auto">
          <a:xfrm>
            <a:off x="896663" y="7390086"/>
            <a:ext cx="0" cy="96563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5" name="Straight Connector 14">
            <a:extLst>
              <a:ext uri="{FF2B5EF4-FFF2-40B4-BE49-F238E27FC236}">
                <a16:creationId xmlns:a16="http://schemas.microsoft.com/office/drawing/2014/main" id="{C2574F7A-A612-4E07-89CF-DBED70E3E38F}"/>
              </a:ext>
            </a:extLst>
          </xdr:cNvPr>
          <xdr:cNvCxnSpPr/>
        </xdr:nvCxnSpPr>
        <xdr:spPr bwMode="auto">
          <a:xfrm>
            <a:off x="5826344" y="7718863"/>
            <a:ext cx="0" cy="26177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6" name="Straight Arrow Connector 15">
            <a:extLst>
              <a:ext uri="{FF2B5EF4-FFF2-40B4-BE49-F238E27FC236}">
                <a16:creationId xmlns:a16="http://schemas.microsoft.com/office/drawing/2014/main" id="{A9ABDF61-37D4-4AAD-8C58-202F70FAB6E9}"/>
              </a:ext>
            </a:extLst>
          </xdr:cNvPr>
          <xdr:cNvCxnSpPr/>
        </xdr:nvCxnSpPr>
        <xdr:spPr bwMode="auto">
          <a:xfrm>
            <a:off x="896664" y="7825937"/>
            <a:ext cx="4939205"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17" name="Straight Connector 16">
            <a:extLst>
              <a:ext uri="{FF2B5EF4-FFF2-40B4-BE49-F238E27FC236}">
                <a16:creationId xmlns:a16="http://schemas.microsoft.com/office/drawing/2014/main" id="{D6DB7B22-33A7-4155-869F-82AE9B7EAB10}"/>
              </a:ext>
            </a:extLst>
          </xdr:cNvPr>
          <xdr:cNvCxnSpPr/>
        </xdr:nvCxnSpPr>
        <xdr:spPr bwMode="auto">
          <a:xfrm flipH="1">
            <a:off x="571500" y="6319420"/>
            <a:ext cx="27753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8" name="Straight Connector 17">
            <a:extLst>
              <a:ext uri="{FF2B5EF4-FFF2-40B4-BE49-F238E27FC236}">
                <a16:creationId xmlns:a16="http://schemas.microsoft.com/office/drawing/2014/main" id="{59121E80-7771-499A-9DCC-05DAB18C6AE7}"/>
              </a:ext>
            </a:extLst>
          </xdr:cNvPr>
          <xdr:cNvCxnSpPr/>
        </xdr:nvCxnSpPr>
        <xdr:spPr bwMode="auto">
          <a:xfrm flipH="1">
            <a:off x="571500" y="7304766"/>
            <a:ext cx="27753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9" name="Straight Arrow Connector 18">
            <a:extLst>
              <a:ext uri="{FF2B5EF4-FFF2-40B4-BE49-F238E27FC236}">
                <a16:creationId xmlns:a16="http://schemas.microsoft.com/office/drawing/2014/main" id="{6EA843E5-0AAE-417D-BF53-6C0CEB807329}"/>
              </a:ext>
            </a:extLst>
          </xdr:cNvPr>
          <xdr:cNvCxnSpPr/>
        </xdr:nvCxnSpPr>
        <xdr:spPr bwMode="auto">
          <a:xfrm>
            <a:off x="668064" y="6319420"/>
            <a:ext cx="0" cy="99487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20" name="Straight Connector 19">
            <a:extLst>
              <a:ext uri="{FF2B5EF4-FFF2-40B4-BE49-F238E27FC236}">
                <a16:creationId xmlns:a16="http://schemas.microsoft.com/office/drawing/2014/main" id="{B2D62A37-3A84-41D3-8B82-75E7AD2E22C1}"/>
              </a:ext>
            </a:extLst>
          </xdr:cNvPr>
          <xdr:cNvCxnSpPr/>
        </xdr:nvCxnSpPr>
        <xdr:spPr bwMode="auto">
          <a:xfrm>
            <a:off x="5160974" y="6319345"/>
            <a:ext cx="712997"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1" name="Straight Connector 20">
            <a:extLst>
              <a:ext uri="{FF2B5EF4-FFF2-40B4-BE49-F238E27FC236}">
                <a16:creationId xmlns:a16="http://schemas.microsoft.com/office/drawing/2014/main" id="{271A7359-12FB-4B70-8B45-4216279970CC}"/>
              </a:ext>
            </a:extLst>
          </xdr:cNvPr>
          <xdr:cNvCxnSpPr/>
        </xdr:nvCxnSpPr>
        <xdr:spPr bwMode="auto">
          <a:xfrm>
            <a:off x="5138962" y="7633138"/>
            <a:ext cx="73500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2" name="Straight Arrow Connector 21">
            <a:extLst>
              <a:ext uri="{FF2B5EF4-FFF2-40B4-BE49-F238E27FC236}">
                <a16:creationId xmlns:a16="http://schemas.microsoft.com/office/drawing/2014/main" id="{75A71502-2100-49A7-BBB2-44CEAFA85051}"/>
              </a:ext>
            </a:extLst>
          </xdr:cNvPr>
          <xdr:cNvCxnSpPr/>
        </xdr:nvCxnSpPr>
        <xdr:spPr bwMode="auto">
          <a:xfrm>
            <a:off x="5372572" y="6328870"/>
            <a:ext cx="0" cy="1304268"/>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76" name="Straight Connector 75">
            <a:extLst>
              <a:ext uri="{FF2B5EF4-FFF2-40B4-BE49-F238E27FC236}">
                <a16:creationId xmlns:a16="http://schemas.microsoft.com/office/drawing/2014/main" id="{B6F59945-B04E-4EBF-B755-8389F123485F}"/>
              </a:ext>
            </a:extLst>
          </xdr:cNvPr>
          <xdr:cNvCxnSpPr/>
        </xdr:nvCxnSpPr>
        <xdr:spPr bwMode="auto">
          <a:xfrm>
            <a:off x="10735963" y="7390086"/>
            <a:ext cx="0" cy="96563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77" name="Straight Arrow Connector 76">
            <a:extLst>
              <a:ext uri="{FF2B5EF4-FFF2-40B4-BE49-F238E27FC236}">
                <a16:creationId xmlns:a16="http://schemas.microsoft.com/office/drawing/2014/main" id="{6F339388-718C-49A4-A0CC-5F870502AFA8}"/>
              </a:ext>
            </a:extLst>
          </xdr:cNvPr>
          <xdr:cNvCxnSpPr/>
        </xdr:nvCxnSpPr>
        <xdr:spPr bwMode="auto">
          <a:xfrm>
            <a:off x="896663" y="8252920"/>
            <a:ext cx="9844314"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grpSp>
    <xdr:clientData/>
  </xdr:twoCellAnchor>
  <xdr:oneCellAnchor>
    <xdr:from>
      <xdr:col>2</xdr:col>
      <xdr:colOff>439615</xdr:colOff>
      <xdr:row>76</xdr:row>
      <xdr:rowOff>43961</xdr:rowOff>
    </xdr:from>
    <xdr:ext cx="381643" cy="264560"/>
    <xdr:sp macro="" textlink="">
      <xdr:nvSpPr>
        <xdr:cNvPr id="34" name="TextBox 33">
          <a:extLst>
            <a:ext uri="{FF2B5EF4-FFF2-40B4-BE49-F238E27FC236}">
              <a16:creationId xmlns:a16="http://schemas.microsoft.com/office/drawing/2014/main" id="{E1E0662D-AE84-452C-9854-4591F67A9CDD}"/>
            </a:ext>
          </a:extLst>
        </xdr:cNvPr>
        <xdr:cNvSpPr txBox="1"/>
      </xdr:nvSpPr>
      <xdr:spPr>
        <a:xfrm>
          <a:off x="1668340" y="11673986"/>
          <a:ext cx="38164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2W</a:t>
          </a:r>
        </a:p>
      </xdr:txBody>
    </xdr:sp>
    <xdr:clientData/>
  </xdr:oneCellAnchor>
  <xdr:oneCellAnchor>
    <xdr:from>
      <xdr:col>6</xdr:col>
      <xdr:colOff>549520</xdr:colOff>
      <xdr:row>77</xdr:row>
      <xdr:rowOff>58614</xdr:rowOff>
    </xdr:from>
    <xdr:ext cx="310150" cy="264560"/>
    <xdr:sp macro="" textlink="">
      <xdr:nvSpPr>
        <xdr:cNvPr id="35" name="TextBox 34">
          <a:extLst>
            <a:ext uri="{FF2B5EF4-FFF2-40B4-BE49-F238E27FC236}">
              <a16:creationId xmlns:a16="http://schemas.microsoft.com/office/drawing/2014/main" id="{DB6154D1-2920-49DC-B838-6779AEB28A87}"/>
            </a:ext>
          </a:extLst>
        </xdr:cNvPr>
        <xdr:cNvSpPr txBox="1"/>
      </xdr:nvSpPr>
      <xdr:spPr>
        <a:xfrm>
          <a:off x="4245220" y="11850564"/>
          <a:ext cx="3101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W</a:t>
          </a:r>
        </a:p>
      </xdr:txBody>
    </xdr:sp>
    <xdr:clientData/>
  </xdr:oneCellAnchor>
  <xdr:twoCellAnchor>
    <xdr:from>
      <xdr:col>6</xdr:col>
      <xdr:colOff>3576</xdr:colOff>
      <xdr:row>36</xdr:row>
      <xdr:rowOff>0</xdr:rowOff>
    </xdr:from>
    <xdr:to>
      <xdr:col>10</xdr:col>
      <xdr:colOff>505810</xdr:colOff>
      <xdr:row>44</xdr:row>
      <xdr:rowOff>0</xdr:rowOff>
    </xdr:to>
    <xdr:grpSp>
      <xdr:nvGrpSpPr>
        <xdr:cNvPr id="46" name="Group 45">
          <a:extLst>
            <a:ext uri="{FF2B5EF4-FFF2-40B4-BE49-F238E27FC236}">
              <a16:creationId xmlns:a16="http://schemas.microsoft.com/office/drawing/2014/main" id="{EA2B5C85-738E-4F56-BDBB-A4A434574128}"/>
            </a:ext>
          </a:extLst>
        </xdr:cNvPr>
        <xdr:cNvGrpSpPr/>
      </xdr:nvGrpSpPr>
      <xdr:grpSpPr>
        <a:xfrm flipH="1">
          <a:off x="3699276" y="5915025"/>
          <a:ext cx="2940634" cy="1295400"/>
          <a:chOff x="602886" y="6238875"/>
          <a:chExt cx="5531214" cy="1295400"/>
        </a:xfrm>
      </xdr:grpSpPr>
      <xdr:cxnSp macro="">
        <xdr:nvCxnSpPr>
          <xdr:cNvPr id="60" name="Straight Connector 59">
            <a:extLst>
              <a:ext uri="{FF2B5EF4-FFF2-40B4-BE49-F238E27FC236}">
                <a16:creationId xmlns:a16="http://schemas.microsoft.com/office/drawing/2014/main" id="{11634FD2-60C9-4611-A58B-3E9DDAF40BA8}"/>
              </a:ext>
            </a:extLst>
          </xdr:cNvPr>
          <xdr:cNvCxnSpPr/>
        </xdr:nvCxnSpPr>
        <xdr:spPr bwMode="auto">
          <a:xfrm flipH="1">
            <a:off x="609600" y="6245352"/>
            <a:ext cx="0" cy="97155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1" name="Straight Connector 60">
            <a:extLst>
              <a:ext uri="{FF2B5EF4-FFF2-40B4-BE49-F238E27FC236}">
                <a16:creationId xmlns:a16="http://schemas.microsoft.com/office/drawing/2014/main" id="{C2378BA7-6C04-4C79-94A2-FBDE6D226BA0}"/>
              </a:ext>
            </a:extLst>
          </xdr:cNvPr>
          <xdr:cNvCxnSpPr/>
        </xdr:nvCxnSpPr>
        <xdr:spPr bwMode="auto">
          <a:xfrm>
            <a:off x="615220" y="6238875"/>
            <a:ext cx="551887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2" name="Straight Connector 61">
            <a:extLst>
              <a:ext uri="{FF2B5EF4-FFF2-40B4-BE49-F238E27FC236}">
                <a16:creationId xmlns:a16="http://schemas.microsoft.com/office/drawing/2014/main" id="{F125CB2D-CCE7-44B1-9AAF-7E44637AFDA1}"/>
              </a:ext>
            </a:extLst>
          </xdr:cNvPr>
          <xdr:cNvCxnSpPr/>
        </xdr:nvCxnSpPr>
        <xdr:spPr bwMode="auto">
          <a:xfrm>
            <a:off x="602886" y="7223379"/>
            <a:ext cx="5531212" cy="31089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3" name="Straight Connector 62">
            <a:extLst>
              <a:ext uri="{FF2B5EF4-FFF2-40B4-BE49-F238E27FC236}">
                <a16:creationId xmlns:a16="http://schemas.microsoft.com/office/drawing/2014/main" id="{0DB7B855-2638-48D1-BD9D-872DDF396CF7}"/>
              </a:ext>
            </a:extLst>
          </xdr:cNvPr>
          <xdr:cNvCxnSpPr/>
        </xdr:nvCxnSpPr>
        <xdr:spPr bwMode="auto">
          <a:xfrm>
            <a:off x="6134100" y="6238875"/>
            <a:ext cx="0" cy="12954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2" name="Group 1">
          <a:extLst>
            <a:ext uri="{FF2B5EF4-FFF2-40B4-BE49-F238E27FC236}">
              <a16:creationId xmlns:a16="http://schemas.microsoft.com/office/drawing/2014/main" id="{5F8BEFFF-AEA9-44B1-A18D-C53FE1549551}"/>
            </a:ext>
          </a:extLst>
        </xdr:cNvPr>
        <xdr:cNvGrpSpPr/>
      </xdr:nvGrpSpPr>
      <xdr:grpSpPr>
        <a:xfrm>
          <a:off x="40822" y="1169167"/>
          <a:ext cx="2502353" cy="587992"/>
          <a:chOff x="40822" y="1267641"/>
          <a:chExt cx="2570933" cy="630195"/>
        </a:xfrm>
      </xdr:grpSpPr>
      <xdr:pic>
        <xdr:nvPicPr>
          <xdr:cNvPr id="3" name="Picture 2">
            <a:hlinkClick xmlns:r="http://schemas.openxmlformats.org/officeDocument/2006/relationships" r:id="rId1"/>
            <a:extLst>
              <a:ext uri="{FF2B5EF4-FFF2-40B4-BE49-F238E27FC236}">
                <a16:creationId xmlns:a16="http://schemas.microsoft.com/office/drawing/2014/main" id="{8882124E-B4E9-47FA-B888-FA2FEA86D1F3}"/>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 name="Picture 3" descr="PayPal - The safer, easier way to pay online!">
            <a:hlinkClick xmlns:r="http://schemas.openxmlformats.org/officeDocument/2006/relationships" r:id="rId3"/>
            <a:extLst>
              <a:ext uri="{FF2B5EF4-FFF2-40B4-BE49-F238E27FC236}">
                <a16:creationId xmlns:a16="http://schemas.microsoft.com/office/drawing/2014/main" id="{9E3A81BD-280B-41DA-B5B6-463EA80DAF2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65</xdr:row>
      <xdr:rowOff>40821</xdr:rowOff>
    </xdr:from>
    <xdr:to>
      <xdr:col>4</xdr:col>
      <xdr:colOff>66675</xdr:colOff>
      <xdr:row>68</xdr:row>
      <xdr:rowOff>145236</xdr:rowOff>
    </xdr:to>
    <xdr:grpSp>
      <xdr:nvGrpSpPr>
        <xdr:cNvPr id="5" name="Group 4">
          <a:extLst>
            <a:ext uri="{FF2B5EF4-FFF2-40B4-BE49-F238E27FC236}">
              <a16:creationId xmlns:a16="http://schemas.microsoft.com/office/drawing/2014/main" id="{6E3CFDE0-664E-4ABB-ABF4-1DA3F05F2D36}"/>
            </a:ext>
          </a:extLst>
        </xdr:cNvPr>
        <xdr:cNvGrpSpPr/>
      </xdr:nvGrpSpPr>
      <xdr:grpSpPr>
        <a:xfrm>
          <a:off x="40822" y="10606244"/>
          <a:ext cx="2502353" cy="587992"/>
          <a:chOff x="40822" y="1267641"/>
          <a:chExt cx="2570933" cy="630195"/>
        </a:xfrm>
      </xdr:grpSpPr>
      <xdr:pic>
        <xdr:nvPicPr>
          <xdr:cNvPr id="6" name="Picture 5">
            <a:hlinkClick xmlns:r="http://schemas.openxmlformats.org/officeDocument/2006/relationships" r:id="rId1"/>
            <a:extLst>
              <a:ext uri="{FF2B5EF4-FFF2-40B4-BE49-F238E27FC236}">
                <a16:creationId xmlns:a16="http://schemas.microsoft.com/office/drawing/2014/main" id="{C6A957FC-E25F-4E1C-B431-F75446C2E9F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3"/>
            <a:extLst>
              <a:ext uri="{FF2B5EF4-FFF2-40B4-BE49-F238E27FC236}">
                <a16:creationId xmlns:a16="http://schemas.microsoft.com/office/drawing/2014/main" id="{ABC61626-C4E2-4AE8-98F8-21B5BF06DD7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285750</xdr:colOff>
      <xdr:row>38</xdr:row>
      <xdr:rowOff>0</xdr:rowOff>
    </xdr:from>
    <xdr:to>
      <xdr:col>9</xdr:col>
      <xdr:colOff>295275</xdr:colOff>
      <xdr:row>46</xdr:row>
      <xdr:rowOff>0</xdr:rowOff>
    </xdr:to>
    <xdr:grpSp>
      <xdr:nvGrpSpPr>
        <xdr:cNvPr id="20" name="Group 19">
          <a:extLst>
            <a:ext uri="{FF2B5EF4-FFF2-40B4-BE49-F238E27FC236}">
              <a16:creationId xmlns:a16="http://schemas.microsoft.com/office/drawing/2014/main" id="{1C14997C-3073-4683-8549-366C8206B3C1}"/>
            </a:ext>
          </a:extLst>
        </xdr:cNvPr>
        <xdr:cNvGrpSpPr/>
      </xdr:nvGrpSpPr>
      <xdr:grpSpPr>
        <a:xfrm>
          <a:off x="893885" y="6213231"/>
          <a:ext cx="4918563" cy="1289538"/>
          <a:chOff x="609600" y="6238875"/>
          <a:chExt cx="5524500" cy="1295400"/>
        </a:xfrm>
      </xdr:grpSpPr>
      <xdr:cxnSp macro="">
        <xdr:nvCxnSpPr>
          <xdr:cNvPr id="21" name="Straight Connector 20">
            <a:extLst>
              <a:ext uri="{FF2B5EF4-FFF2-40B4-BE49-F238E27FC236}">
                <a16:creationId xmlns:a16="http://schemas.microsoft.com/office/drawing/2014/main" id="{4502022B-51DA-48E2-90BB-6DADC7963145}"/>
              </a:ext>
            </a:extLst>
          </xdr:cNvPr>
          <xdr:cNvCxnSpPr/>
        </xdr:nvCxnSpPr>
        <xdr:spPr bwMode="auto">
          <a:xfrm>
            <a:off x="609600" y="6400800"/>
            <a:ext cx="0" cy="97155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2" name="Straight Connector 21">
            <a:extLst>
              <a:ext uri="{FF2B5EF4-FFF2-40B4-BE49-F238E27FC236}">
                <a16:creationId xmlns:a16="http://schemas.microsoft.com/office/drawing/2014/main" id="{F3D34FC0-9CC2-4CF1-BA21-92C870C07265}"/>
              </a:ext>
            </a:extLst>
          </xdr:cNvPr>
          <xdr:cNvCxnSpPr/>
        </xdr:nvCxnSpPr>
        <xdr:spPr bwMode="auto">
          <a:xfrm flipV="1">
            <a:off x="609600" y="6238875"/>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3" name="Straight Connector 22">
            <a:extLst>
              <a:ext uri="{FF2B5EF4-FFF2-40B4-BE49-F238E27FC236}">
                <a16:creationId xmlns:a16="http://schemas.microsoft.com/office/drawing/2014/main" id="{1836B853-83BA-4C83-A02E-E8E9289D8C4D}"/>
              </a:ext>
            </a:extLst>
          </xdr:cNvPr>
          <xdr:cNvCxnSpPr/>
        </xdr:nvCxnSpPr>
        <xdr:spPr bwMode="auto">
          <a:xfrm>
            <a:off x="609600" y="7372350"/>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4" name="Straight Connector 23">
            <a:extLst>
              <a:ext uri="{FF2B5EF4-FFF2-40B4-BE49-F238E27FC236}">
                <a16:creationId xmlns:a16="http://schemas.microsoft.com/office/drawing/2014/main" id="{2ABED924-9F87-4C62-B906-7A844AA76C2D}"/>
              </a:ext>
            </a:extLst>
          </xdr:cNvPr>
          <xdr:cNvCxnSpPr/>
        </xdr:nvCxnSpPr>
        <xdr:spPr bwMode="auto">
          <a:xfrm>
            <a:off x="6134100" y="6238875"/>
            <a:ext cx="0" cy="12954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editAs="oneCell">
    <xdr:from>
      <xdr:col>57</xdr:col>
      <xdr:colOff>138977</xdr:colOff>
      <xdr:row>68</xdr:row>
      <xdr:rowOff>147389</xdr:rowOff>
    </xdr:from>
    <xdr:to>
      <xdr:col>66</xdr:col>
      <xdr:colOff>571169</xdr:colOff>
      <xdr:row>104</xdr:row>
      <xdr:rowOff>96935</xdr:rowOff>
    </xdr:to>
    <xdr:pic>
      <xdr:nvPicPr>
        <xdr:cNvPr id="25" name="Picture 24">
          <a:extLst>
            <a:ext uri="{FF2B5EF4-FFF2-40B4-BE49-F238E27FC236}">
              <a16:creationId xmlns:a16="http://schemas.microsoft.com/office/drawing/2014/main" id="{13E167BD-489B-4DBF-B830-371C37C8DAA0}"/>
            </a:ext>
          </a:extLst>
        </xdr:cNvPr>
        <xdr:cNvPicPr>
          <a:picLocks noChangeAspect="1"/>
        </xdr:cNvPicPr>
      </xdr:nvPicPr>
      <xdr:blipFill>
        <a:blip xmlns:r="http://schemas.openxmlformats.org/officeDocument/2006/relationships" r:embed="rId5"/>
        <a:stretch>
          <a:fillRect/>
        </a:stretch>
      </xdr:blipFill>
      <xdr:spPr>
        <a:xfrm>
          <a:off x="32314427" y="10272464"/>
          <a:ext cx="6032892" cy="5826472"/>
        </a:xfrm>
        <a:prstGeom prst="rect">
          <a:avLst/>
        </a:prstGeom>
      </xdr:spPr>
    </xdr:pic>
    <xdr:clientData/>
  </xdr:twoCellAnchor>
  <xdr:twoCellAnchor>
    <xdr:from>
      <xdr:col>1</xdr:col>
      <xdr:colOff>285750</xdr:colOff>
      <xdr:row>45</xdr:row>
      <xdr:rowOff>104775</xdr:rowOff>
    </xdr:from>
    <xdr:to>
      <xdr:col>1</xdr:col>
      <xdr:colOff>285750</xdr:colOff>
      <xdr:row>48</xdr:row>
      <xdr:rowOff>9525</xdr:rowOff>
    </xdr:to>
    <xdr:cxnSp macro="">
      <xdr:nvCxnSpPr>
        <xdr:cNvPr id="26" name="Straight Connector 25">
          <a:extLst>
            <a:ext uri="{FF2B5EF4-FFF2-40B4-BE49-F238E27FC236}">
              <a16:creationId xmlns:a16="http://schemas.microsoft.com/office/drawing/2014/main" id="{A2C43D23-F092-48CD-A734-66062DECCC45}"/>
            </a:ext>
          </a:extLst>
        </xdr:cNvPr>
        <xdr:cNvCxnSpPr/>
      </xdr:nvCxnSpPr>
      <xdr:spPr bwMode="auto">
        <a:xfrm>
          <a:off x="895350" y="7477125"/>
          <a:ext cx="0" cy="3905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9</xdr:col>
      <xdr:colOff>295275</xdr:colOff>
      <xdr:row>46</xdr:row>
      <xdr:rowOff>85725</xdr:rowOff>
    </xdr:from>
    <xdr:to>
      <xdr:col>9</xdr:col>
      <xdr:colOff>295275</xdr:colOff>
      <xdr:row>48</xdr:row>
      <xdr:rowOff>19050</xdr:rowOff>
    </xdr:to>
    <xdr:cxnSp macro="">
      <xdr:nvCxnSpPr>
        <xdr:cNvPr id="27" name="Straight Connector 26">
          <a:extLst>
            <a:ext uri="{FF2B5EF4-FFF2-40B4-BE49-F238E27FC236}">
              <a16:creationId xmlns:a16="http://schemas.microsoft.com/office/drawing/2014/main" id="{7E625636-F00C-45E9-8780-9FD02B2A3EF8}"/>
            </a:ext>
          </a:extLst>
        </xdr:cNvPr>
        <xdr:cNvCxnSpPr/>
      </xdr:nvCxnSpPr>
      <xdr:spPr bwMode="auto">
        <a:xfrm>
          <a:off x="5819775" y="7620000"/>
          <a:ext cx="0" cy="25717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285750</xdr:colOff>
      <xdr:row>47</xdr:row>
      <xdr:rowOff>28575</xdr:rowOff>
    </xdr:from>
    <xdr:to>
      <xdr:col>9</xdr:col>
      <xdr:colOff>304800</xdr:colOff>
      <xdr:row>47</xdr:row>
      <xdr:rowOff>28575</xdr:rowOff>
    </xdr:to>
    <xdr:cxnSp macro="">
      <xdr:nvCxnSpPr>
        <xdr:cNvPr id="28" name="Straight Arrow Connector 27">
          <a:extLst>
            <a:ext uri="{FF2B5EF4-FFF2-40B4-BE49-F238E27FC236}">
              <a16:creationId xmlns:a16="http://schemas.microsoft.com/office/drawing/2014/main" id="{2437D9ED-6855-4BBE-9FC5-6D67B1DA3A17}"/>
            </a:ext>
          </a:extLst>
        </xdr:cNvPr>
        <xdr:cNvCxnSpPr/>
      </xdr:nvCxnSpPr>
      <xdr:spPr bwMode="auto">
        <a:xfrm>
          <a:off x="895350" y="7724775"/>
          <a:ext cx="4933950"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0</xdr:col>
      <xdr:colOff>571500</xdr:colOff>
      <xdr:row>39</xdr:row>
      <xdr:rowOff>0</xdr:rowOff>
    </xdr:from>
    <xdr:to>
      <xdr:col>1</xdr:col>
      <xdr:colOff>238125</xdr:colOff>
      <xdr:row>39</xdr:row>
      <xdr:rowOff>0</xdr:rowOff>
    </xdr:to>
    <xdr:cxnSp macro="">
      <xdr:nvCxnSpPr>
        <xdr:cNvPr id="29" name="Straight Connector 28">
          <a:extLst>
            <a:ext uri="{FF2B5EF4-FFF2-40B4-BE49-F238E27FC236}">
              <a16:creationId xmlns:a16="http://schemas.microsoft.com/office/drawing/2014/main" id="{448318FE-09D3-4609-82E2-A6D4D1E631F5}"/>
            </a:ext>
          </a:extLst>
        </xdr:cNvPr>
        <xdr:cNvCxnSpPr/>
      </xdr:nvCxnSpPr>
      <xdr:spPr bwMode="auto">
        <a:xfrm flipH="1">
          <a:off x="571500" y="6400800"/>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0</xdr:col>
      <xdr:colOff>571500</xdr:colOff>
      <xdr:row>45</xdr:row>
      <xdr:rowOff>0</xdr:rowOff>
    </xdr:from>
    <xdr:to>
      <xdr:col>1</xdr:col>
      <xdr:colOff>238125</xdr:colOff>
      <xdr:row>45</xdr:row>
      <xdr:rowOff>0</xdr:rowOff>
    </xdr:to>
    <xdr:cxnSp macro="">
      <xdr:nvCxnSpPr>
        <xdr:cNvPr id="30" name="Straight Connector 29">
          <a:extLst>
            <a:ext uri="{FF2B5EF4-FFF2-40B4-BE49-F238E27FC236}">
              <a16:creationId xmlns:a16="http://schemas.microsoft.com/office/drawing/2014/main" id="{5E42D883-22B2-49EE-BC67-AA4CFF044517}"/>
            </a:ext>
          </a:extLst>
        </xdr:cNvPr>
        <xdr:cNvCxnSpPr/>
      </xdr:nvCxnSpPr>
      <xdr:spPr bwMode="auto">
        <a:xfrm flipH="1">
          <a:off x="571500" y="7372350"/>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57150</xdr:colOff>
      <xdr:row>39</xdr:row>
      <xdr:rowOff>0</xdr:rowOff>
    </xdr:from>
    <xdr:to>
      <xdr:col>1</xdr:col>
      <xdr:colOff>57150</xdr:colOff>
      <xdr:row>45</xdr:row>
      <xdr:rowOff>9525</xdr:rowOff>
    </xdr:to>
    <xdr:cxnSp macro="">
      <xdr:nvCxnSpPr>
        <xdr:cNvPr id="31" name="Straight Arrow Connector 30">
          <a:extLst>
            <a:ext uri="{FF2B5EF4-FFF2-40B4-BE49-F238E27FC236}">
              <a16:creationId xmlns:a16="http://schemas.microsoft.com/office/drawing/2014/main" id="{A02ECD09-02F5-4B8B-A168-FDDB9E190E00}"/>
            </a:ext>
          </a:extLst>
        </xdr:cNvPr>
        <xdr:cNvCxnSpPr/>
      </xdr:nvCxnSpPr>
      <xdr:spPr bwMode="auto">
        <a:xfrm>
          <a:off x="666750" y="6400800"/>
          <a:ext cx="0" cy="981075"/>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9</xdr:col>
      <xdr:colOff>342900</xdr:colOff>
      <xdr:row>38</xdr:row>
      <xdr:rowOff>0</xdr:rowOff>
    </xdr:from>
    <xdr:to>
      <xdr:col>10</xdr:col>
      <xdr:colOff>9525</xdr:colOff>
      <xdr:row>38</xdr:row>
      <xdr:rowOff>0</xdr:rowOff>
    </xdr:to>
    <xdr:cxnSp macro="">
      <xdr:nvCxnSpPr>
        <xdr:cNvPr id="32" name="Straight Connector 31">
          <a:extLst>
            <a:ext uri="{FF2B5EF4-FFF2-40B4-BE49-F238E27FC236}">
              <a16:creationId xmlns:a16="http://schemas.microsoft.com/office/drawing/2014/main" id="{70BE9472-A9FB-44C6-8D48-A89C5C86AF8B}"/>
            </a:ext>
          </a:extLst>
        </xdr:cNvPr>
        <xdr:cNvCxnSpPr/>
      </xdr:nvCxnSpPr>
      <xdr:spPr bwMode="auto">
        <a:xfrm flipH="1">
          <a:off x="5867400" y="6238875"/>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9</xdr:col>
      <xdr:colOff>342900</xdr:colOff>
      <xdr:row>46</xdr:row>
      <xdr:rowOff>0</xdr:rowOff>
    </xdr:from>
    <xdr:to>
      <xdr:col>10</xdr:col>
      <xdr:colOff>9525</xdr:colOff>
      <xdr:row>46</xdr:row>
      <xdr:rowOff>0</xdr:rowOff>
    </xdr:to>
    <xdr:cxnSp macro="">
      <xdr:nvCxnSpPr>
        <xdr:cNvPr id="33" name="Straight Connector 32">
          <a:extLst>
            <a:ext uri="{FF2B5EF4-FFF2-40B4-BE49-F238E27FC236}">
              <a16:creationId xmlns:a16="http://schemas.microsoft.com/office/drawing/2014/main" id="{00F57EBB-C986-4FC7-9DC2-7FFC73434EA3}"/>
            </a:ext>
          </a:extLst>
        </xdr:cNvPr>
        <xdr:cNvCxnSpPr/>
      </xdr:nvCxnSpPr>
      <xdr:spPr bwMode="auto">
        <a:xfrm flipH="1">
          <a:off x="5867400" y="7534275"/>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9</xdr:col>
      <xdr:colOff>523875</xdr:colOff>
      <xdr:row>38</xdr:row>
      <xdr:rowOff>9525</xdr:rowOff>
    </xdr:from>
    <xdr:to>
      <xdr:col>9</xdr:col>
      <xdr:colOff>523875</xdr:colOff>
      <xdr:row>46</xdr:row>
      <xdr:rowOff>0</xdr:rowOff>
    </xdr:to>
    <xdr:cxnSp macro="">
      <xdr:nvCxnSpPr>
        <xdr:cNvPr id="34" name="Straight Arrow Connector 33">
          <a:extLst>
            <a:ext uri="{FF2B5EF4-FFF2-40B4-BE49-F238E27FC236}">
              <a16:creationId xmlns:a16="http://schemas.microsoft.com/office/drawing/2014/main" id="{B7CC320B-5A5B-4F98-A981-8E5AF5185935}"/>
            </a:ext>
          </a:extLst>
        </xdr:cNvPr>
        <xdr:cNvCxnSpPr/>
      </xdr:nvCxnSpPr>
      <xdr:spPr bwMode="auto">
        <a:xfrm>
          <a:off x="6048375" y="6248400"/>
          <a:ext cx="0" cy="1285875"/>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1</xdr:col>
      <xdr:colOff>180975</xdr:colOff>
      <xdr:row>40</xdr:row>
      <xdr:rowOff>114300</xdr:rowOff>
    </xdr:from>
    <xdr:to>
      <xdr:col>9</xdr:col>
      <xdr:colOff>428625</xdr:colOff>
      <xdr:row>41</xdr:row>
      <xdr:rowOff>57150</xdr:rowOff>
    </xdr:to>
    <xdr:cxnSp macro="">
      <xdr:nvCxnSpPr>
        <xdr:cNvPr id="35" name="Straight Connector 34">
          <a:extLst>
            <a:ext uri="{FF2B5EF4-FFF2-40B4-BE49-F238E27FC236}">
              <a16:creationId xmlns:a16="http://schemas.microsoft.com/office/drawing/2014/main" id="{27A4F304-35A2-4112-8250-863DA26CE909}"/>
            </a:ext>
          </a:extLst>
        </xdr:cNvPr>
        <xdr:cNvCxnSpPr/>
      </xdr:nvCxnSpPr>
      <xdr:spPr bwMode="auto">
        <a:xfrm flipV="1">
          <a:off x="790575" y="6677025"/>
          <a:ext cx="5162550" cy="104775"/>
        </a:xfrm>
        <a:prstGeom prst="line">
          <a:avLst/>
        </a:prstGeom>
        <a:solidFill>
          <a:srgbClr val="FFFFFF"/>
        </a:solidFill>
        <a:ln w="9525" cap="flat" cmpd="sng" algn="ctr">
          <a:solidFill>
            <a:srgbClr val="000000"/>
          </a:solidFill>
          <a:prstDash val="lgDash"/>
          <a:round/>
          <a:headEnd type="none" w="med" len="med"/>
          <a:tailEnd type="none" w="med" len="med"/>
        </a:ln>
        <a:effectLst/>
      </xdr:spPr>
    </xdr:cxnSp>
    <xdr:clientData/>
  </xdr:twoCellAnchor>
  <xdr:twoCellAnchor>
    <xdr:from>
      <xdr:col>9</xdr:col>
      <xdr:colOff>371475</xdr:colOff>
      <xdr:row>38</xdr:row>
      <xdr:rowOff>9525</xdr:rowOff>
    </xdr:from>
    <xdr:to>
      <xdr:col>9</xdr:col>
      <xdr:colOff>371475</xdr:colOff>
      <xdr:row>40</xdr:row>
      <xdr:rowOff>123825</xdr:rowOff>
    </xdr:to>
    <xdr:cxnSp macro="">
      <xdr:nvCxnSpPr>
        <xdr:cNvPr id="36" name="Straight Arrow Connector 35">
          <a:extLst>
            <a:ext uri="{FF2B5EF4-FFF2-40B4-BE49-F238E27FC236}">
              <a16:creationId xmlns:a16="http://schemas.microsoft.com/office/drawing/2014/main" id="{942AA256-5A85-4CDA-B162-E6B0F43123C3}"/>
            </a:ext>
          </a:extLst>
        </xdr:cNvPr>
        <xdr:cNvCxnSpPr/>
      </xdr:nvCxnSpPr>
      <xdr:spPr bwMode="auto">
        <a:xfrm>
          <a:off x="5895975" y="6248400"/>
          <a:ext cx="0" cy="43815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1</xdr:col>
      <xdr:colOff>200025</xdr:colOff>
      <xdr:row>39</xdr:row>
      <xdr:rowOff>0</xdr:rowOff>
    </xdr:from>
    <xdr:to>
      <xdr:col>1</xdr:col>
      <xdr:colOff>200025</xdr:colOff>
      <xdr:row>41</xdr:row>
      <xdr:rowOff>57150</xdr:rowOff>
    </xdr:to>
    <xdr:cxnSp macro="">
      <xdr:nvCxnSpPr>
        <xdr:cNvPr id="37" name="Straight Arrow Connector 36">
          <a:extLst>
            <a:ext uri="{FF2B5EF4-FFF2-40B4-BE49-F238E27FC236}">
              <a16:creationId xmlns:a16="http://schemas.microsoft.com/office/drawing/2014/main" id="{6B466C7A-2620-48E6-87F7-B34B33551D0C}"/>
            </a:ext>
          </a:extLst>
        </xdr:cNvPr>
        <xdr:cNvCxnSpPr/>
      </xdr:nvCxnSpPr>
      <xdr:spPr bwMode="auto">
        <a:xfrm>
          <a:off x="809625" y="6400800"/>
          <a:ext cx="0" cy="38100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1</xdr:col>
      <xdr:colOff>0</xdr:colOff>
      <xdr:row>86</xdr:row>
      <xdr:rowOff>112058</xdr:rowOff>
    </xdr:from>
    <xdr:to>
      <xdr:col>10</xdr:col>
      <xdr:colOff>0</xdr:colOff>
      <xdr:row>107</xdr:row>
      <xdr:rowOff>112058</xdr:rowOff>
    </xdr:to>
    <xdr:graphicFrame macro="">
      <xdr:nvGraphicFramePr>
        <xdr:cNvPr id="38" name="Chart 37">
          <a:extLst>
            <a:ext uri="{FF2B5EF4-FFF2-40B4-BE49-F238E27FC236}">
              <a16:creationId xmlns:a16="http://schemas.microsoft.com/office/drawing/2014/main" id="{F861B9BA-6F8C-4CB8-B18F-E9C59D5454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108</xdr:row>
      <xdr:rowOff>78440</xdr:rowOff>
    </xdr:from>
    <xdr:to>
      <xdr:col>4</xdr:col>
      <xdr:colOff>0</xdr:colOff>
      <xdr:row>108</xdr:row>
      <xdr:rowOff>78440</xdr:rowOff>
    </xdr:to>
    <xdr:cxnSp macro="">
      <xdr:nvCxnSpPr>
        <xdr:cNvPr id="39" name="Straight Connector 38">
          <a:extLst>
            <a:ext uri="{FF2B5EF4-FFF2-40B4-BE49-F238E27FC236}">
              <a16:creationId xmlns:a16="http://schemas.microsoft.com/office/drawing/2014/main" id="{F2A06A6A-BF53-4031-AFCC-6BC5C81C4F2D}"/>
            </a:ext>
          </a:extLst>
        </xdr:cNvPr>
        <xdr:cNvCxnSpPr/>
      </xdr:nvCxnSpPr>
      <xdr:spPr bwMode="auto">
        <a:xfrm>
          <a:off x="1866900" y="16728140"/>
          <a:ext cx="6096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3</xdr:col>
      <xdr:colOff>0</xdr:colOff>
      <xdr:row>109</xdr:row>
      <xdr:rowOff>78440</xdr:rowOff>
    </xdr:from>
    <xdr:to>
      <xdr:col>4</xdr:col>
      <xdr:colOff>0</xdr:colOff>
      <xdr:row>109</xdr:row>
      <xdr:rowOff>78440</xdr:rowOff>
    </xdr:to>
    <xdr:cxnSp macro="">
      <xdr:nvCxnSpPr>
        <xdr:cNvPr id="40" name="Straight Connector 39">
          <a:extLst>
            <a:ext uri="{FF2B5EF4-FFF2-40B4-BE49-F238E27FC236}">
              <a16:creationId xmlns:a16="http://schemas.microsoft.com/office/drawing/2014/main" id="{8C5FA9C7-9FCC-4C23-86E6-7A8D977BC232}"/>
            </a:ext>
          </a:extLst>
        </xdr:cNvPr>
        <xdr:cNvCxnSpPr/>
      </xdr:nvCxnSpPr>
      <xdr:spPr bwMode="auto">
        <a:xfrm>
          <a:off x="1866900" y="16890065"/>
          <a:ext cx="609600" cy="0"/>
        </a:xfrm>
        <a:prstGeom prst="line">
          <a:avLst/>
        </a:prstGeom>
        <a:solidFill>
          <a:srgbClr val="FFFFFF"/>
        </a:solidFill>
        <a:ln w="19050" cap="flat" cmpd="sng" algn="ctr">
          <a:solidFill>
            <a:srgbClr val="000000"/>
          </a:solidFill>
          <a:prstDash val="sysDash"/>
          <a:round/>
          <a:headEnd type="none" w="med" len="med"/>
          <a:tailEnd type="none" w="med" len="med"/>
        </a:ln>
        <a:effectLst/>
      </xdr:spPr>
    </xdr:cxnSp>
    <xdr:clientData/>
  </xdr:twoCellAnchor>
  <xdr:twoCellAnchor>
    <xdr:from>
      <xdr:col>1</xdr:col>
      <xdr:colOff>163286</xdr:colOff>
      <xdr:row>74</xdr:row>
      <xdr:rowOff>0</xdr:rowOff>
    </xdr:from>
    <xdr:to>
      <xdr:col>1</xdr:col>
      <xdr:colOff>163286</xdr:colOff>
      <xdr:row>82</xdr:row>
      <xdr:rowOff>78827</xdr:rowOff>
    </xdr:to>
    <xdr:cxnSp macro="">
      <xdr:nvCxnSpPr>
        <xdr:cNvPr id="41" name="Straight Connector 40">
          <a:extLst>
            <a:ext uri="{FF2B5EF4-FFF2-40B4-BE49-F238E27FC236}">
              <a16:creationId xmlns:a16="http://schemas.microsoft.com/office/drawing/2014/main" id="{115841A7-38D1-411A-AF46-A5E760C6B582}"/>
            </a:ext>
          </a:extLst>
        </xdr:cNvPr>
        <xdr:cNvCxnSpPr/>
      </xdr:nvCxnSpPr>
      <xdr:spPr bwMode="auto">
        <a:xfrm>
          <a:off x="2030186" y="11144250"/>
          <a:ext cx="0" cy="137422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80</xdr:row>
      <xdr:rowOff>0</xdr:rowOff>
    </xdr:from>
    <xdr:to>
      <xdr:col>6</xdr:col>
      <xdr:colOff>0</xdr:colOff>
      <xdr:row>80</xdr:row>
      <xdr:rowOff>0</xdr:rowOff>
    </xdr:to>
    <xdr:cxnSp macro="">
      <xdr:nvCxnSpPr>
        <xdr:cNvPr id="42" name="Straight Connector 41">
          <a:extLst>
            <a:ext uri="{FF2B5EF4-FFF2-40B4-BE49-F238E27FC236}">
              <a16:creationId xmlns:a16="http://schemas.microsoft.com/office/drawing/2014/main" id="{EACB67D7-87C8-4E5E-857E-B8DAE375D74D}"/>
            </a:ext>
          </a:extLst>
        </xdr:cNvPr>
        <xdr:cNvCxnSpPr/>
      </xdr:nvCxnSpPr>
      <xdr:spPr bwMode="auto">
        <a:xfrm>
          <a:off x="1866900" y="12115800"/>
          <a:ext cx="3048000"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4</xdr:col>
      <xdr:colOff>0</xdr:colOff>
      <xdr:row>76</xdr:row>
      <xdr:rowOff>0</xdr:rowOff>
    </xdr:from>
    <xdr:to>
      <xdr:col>4</xdr:col>
      <xdr:colOff>0</xdr:colOff>
      <xdr:row>80</xdr:row>
      <xdr:rowOff>137948</xdr:rowOff>
    </xdr:to>
    <xdr:cxnSp macro="">
      <xdr:nvCxnSpPr>
        <xdr:cNvPr id="43" name="Straight Connector 42">
          <a:extLst>
            <a:ext uri="{FF2B5EF4-FFF2-40B4-BE49-F238E27FC236}">
              <a16:creationId xmlns:a16="http://schemas.microsoft.com/office/drawing/2014/main" id="{7E9B428E-DEBF-4343-A9BB-D2B4F5A8D892}"/>
            </a:ext>
          </a:extLst>
        </xdr:cNvPr>
        <xdr:cNvCxnSpPr/>
      </xdr:nvCxnSpPr>
      <xdr:spPr bwMode="auto">
        <a:xfrm>
          <a:off x="3695700" y="11468100"/>
          <a:ext cx="0" cy="785648"/>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4</xdr:col>
      <xdr:colOff>6570</xdr:colOff>
      <xdr:row>76</xdr:row>
      <xdr:rowOff>0</xdr:rowOff>
    </xdr:from>
    <xdr:to>
      <xdr:col>5</xdr:col>
      <xdr:colOff>1</xdr:colOff>
      <xdr:row>80</xdr:row>
      <xdr:rowOff>0</xdr:rowOff>
    </xdr:to>
    <xdr:sp macro="" textlink="">
      <xdr:nvSpPr>
        <xdr:cNvPr id="44" name="Freeform: Shape 43">
          <a:extLst>
            <a:ext uri="{FF2B5EF4-FFF2-40B4-BE49-F238E27FC236}">
              <a16:creationId xmlns:a16="http://schemas.microsoft.com/office/drawing/2014/main" id="{2EA2B802-6F9C-4920-ADFE-299B374D7048}"/>
            </a:ext>
          </a:extLst>
        </xdr:cNvPr>
        <xdr:cNvSpPr/>
      </xdr:nvSpPr>
      <xdr:spPr bwMode="auto">
        <a:xfrm>
          <a:off x="3702270" y="11468100"/>
          <a:ext cx="603031" cy="647700"/>
        </a:xfrm>
        <a:custGeom>
          <a:avLst/>
          <a:gdLst>
            <a:gd name="connsiteX0" fmla="*/ 0 w 610913"/>
            <a:gd name="connsiteY0" fmla="*/ 0 h 663466"/>
            <a:gd name="connsiteX1" fmla="*/ 151086 w 610913"/>
            <a:gd name="connsiteY1" fmla="*/ 413845 h 663466"/>
            <a:gd name="connsiteX2" fmla="*/ 610913 w 610913"/>
            <a:gd name="connsiteY2" fmla="*/ 663466 h 663466"/>
            <a:gd name="connsiteX0" fmla="*/ 0 w 610913"/>
            <a:gd name="connsiteY0" fmla="*/ 0 h 663466"/>
            <a:gd name="connsiteX1" fmla="*/ 216775 w 610913"/>
            <a:gd name="connsiteY1" fmla="*/ 459828 h 663466"/>
            <a:gd name="connsiteX2" fmla="*/ 610913 w 610913"/>
            <a:gd name="connsiteY2" fmla="*/ 663466 h 663466"/>
          </a:gdLst>
          <a:ahLst/>
          <a:cxnLst>
            <a:cxn ang="0">
              <a:pos x="connsiteX0" y="connsiteY0"/>
            </a:cxn>
            <a:cxn ang="0">
              <a:pos x="connsiteX1" y="connsiteY1"/>
            </a:cxn>
            <a:cxn ang="0">
              <a:pos x="connsiteX2" y="connsiteY2"/>
            </a:cxn>
          </a:cxnLst>
          <a:rect l="l" t="t" r="r" b="b"/>
          <a:pathLst>
            <a:path w="610913" h="663466">
              <a:moveTo>
                <a:pt x="0" y="0"/>
              </a:moveTo>
              <a:cubicBezTo>
                <a:pt x="24633" y="151633"/>
                <a:pt x="114956" y="349250"/>
                <a:pt x="216775" y="459828"/>
              </a:cubicBezTo>
              <a:cubicBezTo>
                <a:pt x="318594" y="570406"/>
                <a:pt x="431909" y="593944"/>
                <a:pt x="610913" y="663466"/>
              </a:cubicBezTo>
            </a:path>
          </a:pathLst>
        </a:cu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twoCellAnchor>
    <xdr:from>
      <xdr:col>4</xdr:col>
      <xdr:colOff>610913</xdr:colOff>
      <xdr:row>78</xdr:row>
      <xdr:rowOff>164224</xdr:rowOff>
    </xdr:from>
    <xdr:to>
      <xdr:col>4</xdr:col>
      <xdr:colOff>610913</xdr:colOff>
      <xdr:row>82</xdr:row>
      <xdr:rowOff>98534</xdr:rowOff>
    </xdr:to>
    <xdr:cxnSp macro="">
      <xdr:nvCxnSpPr>
        <xdr:cNvPr id="45" name="Straight Connector 44">
          <a:extLst>
            <a:ext uri="{FF2B5EF4-FFF2-40B4-BE49-F238E27FC236}">
              <a16:creationId xmlns:a16="http://schemas.microsoft.com/office/drawing/2014/main" id="{1F85BF28-4061-429D-81B3-1F0A690E9F3B}"/>
            </a:ext>
          </a:extLst>
        </xdr:cNvPr>
        <xdr:cNvCxnSpPr/>
      </xdr:nvCxnSpPr>
      <xdr:spPr bwMode="auto">
        <a:xfrm>
          <a:off x="4306613" y="11956174"/>
          <a:ext cx="0" cy="58201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164224</xdr:colOff>
      <xdr:row>82</xdr:row>
      <xdr:rowOff>658</xdr:rowOff>
    </xdr:from>
    <xdr:to>
      <xdr:col>5</xdr:col>
      <xdr:colOff>1313</xdr:colOff>
      <xdr:row>82</xdr:row>
      <xdr:rowOff>658</xdr:rowOff>
    </xdr:to>
    <xdr:cxnSp macro="">
      <xdr:nvCxnSpPr>
        <xdr:cNvPr id="46" name="Straight Arrow Connector 45">
          <a:extLst>
            <a:ext uri="{FF2B5EF4-FFF2-40B4-BE49-F238E27FC236}">
              <a16:creationId xmlns:a16="http://schemas.microsoft.com/office/drawing/2014/main" id="{34217765-31F6-47AC-9970-E2FCDAE4D942}"/>
            </a:ext>
          </a:extLst>
        </xdr:cNvPr>
        <xdr:cNvCxnSpPr/>
      </xdr:nvCxnSpPr>
      <xdr:spPr bwMode="auto">
        <a:xfrm>
          <a:off x="2031124" y="12440308"/>
          <a:ext cx="2275489"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4</xdr:col>
      <xdr:colOff>177362</xdr:colOff>
      <xdr:row>76</xdr:row>
      <xdr:rowOff>0</xdr:rowOff>
    </xdr:from>
    <xdr:to>
      <xdr:col>4</xdr:col>
      <xdr:colOff>177362</xdr:colOff>
      <xdr:row>80</xdr:row>
      <xdr:rowOff>137948</xdr:rowOff>
    </xdr:to>
    <xdr:cxnSp macro="">
      <xdr:nvCxnSpPr>
        <xdr:cNvPr id="47" name="Straight Connector 46">
          <a:extLst>
            <a:ext uri="{FF2B5EF4-FFF2-40B4-BE49-F238E27FC236}">
              <a16:creationId xmlns:a16="http://schemas.microsoft.com/office/drawing/2014/main" id="{65954F6D-2BD8-4E76-A475-A91BC9A21D35}"/>
            </a:ext>
          </a:extLst>
        </xdr:cNvPr>
        <xdr:cNvCxnSpPr/>
      </xdr:nvCxnSpPr>
      <xdr:spPr bwMode="auto">
        <a:xfrm>
          <a:off x="3873062" y="11468100"/>
          <a:ext cx="0" cy="785648"/>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4</xdr:col>
      <xdr:colOff>183931</xdr:colOff>
      <xdr:row>80</xdr:row>
      <xdr:rowOff>111673</xdr:rowOff>
    </xdr:from>
    <xdr:to>
      <xdr:col>4</xdr:col>
      <xdr:colOff>610913</xdr:colOff>
      <xdr:row>80</xdr:row>
      <xdr:rowOff>111673</xdr:rowOff>
    </xdr:to>
    <xdr:cxnSp macro="">
      <xdr:nvCxnSpPr>
        <xdr:cNvPr id="48" name="Straight Arrow Connector 47">
          <a:extLst>
            <a:ext uri="{FF2B5EF4-FFF2-40B4-BE49-F238E27FC236}">
              <a16:creationId xmlns:a16="http://schemas.microsoft.com/office/drawing/2014/main" id="{955110BF-DC0D-4E3E-A1DE-2FC2B328C564}"/>
            </a:ext>
          </a:extLst>
        </xdr:cNvPr>
        <xdr:cNvCxnSpPr/>
      </xdr:nvCxnSpPr>
      <xdr:spPr bwMode="auto">
        <a:xfrm>
          <a:off x="3879631" y="12227473"/>
          <a:ext cx="426982"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oneCellAnchor>
    <xdr:from>
      <xdr:col>4</xdr:col>
      <xdr:colOff>256189</xdr:colOff>
      <xdr:row>80</xdr:row>
      <xdr:rowOff>52552</xdr:rowOff>
    </xdr:from>
    <xdr:ext cx="279115" cy="248851"/>
    <xdr:sp macro="" textlink="">
      <xdr:nvSpPr>
        <xdr:cNvPr id="49" name="TextBox 48">
          <a:extLst>
            <a:ext uri="{FF2B5EF4-FFF2-40B4-BE49-F238E27FC236}">
              <a16:creationId xmlns:a16="http://schemas.microsoft.com/office/drawing/2014/main" id="{596FA490-9D8B-4060-AC73-DC2D651E5DDD}"/>
            </a:ext>
          </a:extLst>
        </xdr:cNvPr>
        <xdr:cNvSpPr txBox="1"/>
      </xdr:nvSpPr>
      <xdr:spPr>
        <a:xfrm>
          <a:off x="3951889" y="12168352"/>
          <a:ext cx="27911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C</a:t>
          </a:r>
          <a:r>
            <a:rPr lang="en-US" sz="1000" baseline="-25000"/>
            <a:t>f</a:t>
          </a:r>
        </a:p>
      </xdr:txBody>
    </xdr:sp>
    <xdr:clientData/>
  </xdr:oneCellAnchor>
  <xdr:twoCellAnchor>
    <xdr:from>
      <xdr:col>1</xdr:col>
      <xdr:colOff>164224</xdr:colOff>
      <xdr:row>77</xdr:row>
      <xdr:rowOff>658</xdr:rowOff>
    </xdr:from>
    <xdr:to>
      <xdr:col>4</xdr:col>
      <xdr:colOff>190500</xdr:colOff>
      <xdr:row>77</xdr:row>
      <xdr:rowOff>658</xdr:rowOff>
    </xdr:to>
    <xdr:cxnSp macro="">
      <xdr:nvCxnSpPr>
        <xdr:cNvPr id="50" name="Straight Arrow Connector 49">
          <a:extLst>
            <a:ext uri="{FF2B5EF4-FFF2-40B4-BE49-F238E27FC236}">
              <a16:creationId xmlns:a16="http://schemas.microsoft.com/office/drawing/2014/main" id="{C2E55ADC-4F37-4B2E-9F8C-7FBFE7D00606}"/>
            </a:ext>
          </a:extLst>
        </xdr:cNvPr>
        <xdr:cNvCxnSpPr/>
      </xdr:nvCxnSpPr>
      <xdr:spPr bwMode="auto">
        <a:xfrm>
          <a:off x="2031124" y="11630683"/>
          <a:ext cx="1855076"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6</xdr:col>
      <xdr:colOff>165653</xdr:colOff>
      <xdr:row>74</xdr:row>
      <xdr:rowOff>0</xdr:rowOff>
    </xdr:from>
    <xdr:to>
      <xdr:col>10</xdr:col>
      <xdr:colOff>545679</xdr:colOff>
      <xdr:row>83</xdr:row>
      <xdr:rowOff>132521</xdr:rowOff>
    </xdr:to>
    <xdr:graphicFrame macro="">
      <xdr:nvGraphicFramePr>
        <xdr:cNvPr id="51" name="Chart 50">
          <a:extLst>
            <a:ext uri="{FF2B5EF4-FFF2-40B4-BE49-F238E27FC236}">
              <a16:creationId xmlns:a16="http://schemas.microsoft.com/office/drawing/2014/main" id="{B7B4AAB6-B4EA-455F-A70A-76751FA1E5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0</xdr:colOff>
      <xdr:row>43</xdr:row>
      <xdr:rowOff>0</xdr:rowOff>
    </xdr:from>
    <xdr:to>
      <xdr:col>7</xdr:col>
      <xdr:colOff>0</xdr:colOff>
      <xdr:row>43</xdr:row>
      <xdr:rowOff>0</xdr:rowOff>
    </xdr:to>
    <xdr:cxnSp macro="">
      <xdr:nvCxnSpPr>
        <xdr:cNvPr id="53" name="Straight Arrow Connector 52">
          <a:extLst>
            <a:ext uri="{FF2B5EF4-FFF2-40B4-BE49-F238E27FC236}">
              <a16:creationId xmlns:a16="http://schemas.microsoft.com/office/drawing/2014/main" id="{14C0422C-3D19-4C8F-9341-09C4224D6B69}"/>
            </a:ext>
          </a:extLst>
        </xdr:cNvPr>
        <xdr:cNvCxnSpPr/>
      </xdr:nvCxnSpPr>
      <xdr:spPr bwMode="auto">
        <a:xfrm flipH="1">
          <a:off x="2476500" y="7048500"/>
          <a:ext cx="1828800" cy="0"/>
        </a:xfrm>
        <a:prstGeom prst="straightConnector1">
          <a:avLst/>
        </a:prstGeom>
        <a:solidFill>
          <a:srgbClr val="FFFFFF"/>
        </a:solidFill>
        <a:ln w="28575" cap="flat" cmpd="sng" algn="ctr">
          <a:solidFill>
            <a:srgbClr val="000000"/>
          </a:solidFill>
          <a:prstDash val="solid"/>
          <a:round/>
          <a:headEnd type="none" w="med" len="med"/>
          <a:tailEnd type="triangle"/>
        </a:ln>
        <a:effectLst/>
      </xdr:spPr>
    </xdr:cxnSp>
    <xdr:clientData/>
  </xdr:twoCellAnchor>
  <xdr:oneCellAnchor>
    <xdr:from>
      <xdr:col>1</xdr:col>
      <xdr:colOff>27214</xdr:colOff>
      <xdr:row>105</xdr:row>
      <xdr:rowOff>136072</xdr:rowOff>
    </xdr:from>
    <xdr:ext cx="542841" cy="264560"/>
    <xdr:sp macro="" textlink="">
      <xdr:nvSpPr>
        <xdr:cNvPr id="8" name="TextBox 7">
          <a:extLst>
            <a:ext uri="{FF2B5EF4-FFF2-40B4-BE49-F238E27FC236}">
              <a16:creationId xmlns:a16="http://schemas.microsoft.com/office/drawing/2014/main" id="{3D8BE324-D18F-4530-9CA4-16890C200B34}"/>
            </a:ext>
          </a:extLst>
        </xdr:cNvPr>
        <xdr:cNvSpPr txBox="1"/>
      </xdr:nvSpPr>
      <xdr:spPr>
        <a:xfrm>
          <a:off x="639535" y="17417143"/>
          <a:ext cx="5428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Upper</a:t>
          </a:r>
        </a:p>
      </xdr:txBody>
    </xdr:sp>
    <xdr:clientData/>
  </xdr:oneCellAnchor>
  <xdr:oneCellAnchor>
    <xdr:from>
      <xdr:col>8</xdr:col>
      <xdr:colOff>115138</xdr:colOff>
      <xdr:row>105</xdr:row>
      <xdr:rowOff>136072</xdr:rowOff>
    </xdr:from>
    <xdr:ext cx="538609" cy="264560"/>
    <xdr:sp macro="" textlink="">
      <xdr:nvSpPr>
        <xdr:cNvPr id="52" name="TextBox 51">
          <a:extLst>
            <a:ext uri="{FF2B5EF4-FFF2-40B4-BE49-F238E27FC236}">
              <a16:creationId xmlns:a16="http://schemas.microsoft.com/office/drawing/2014/main" id="{BB8011D1-CD97-431F-B6E1-1D08FE5DFF6D}"/>
            </a:ext>
          </a:extLst>
        </xdr:cNvPr>
        <xdr:cNvSpPr txBox="1"/>
      </xdr:nvSpPr>
      <xdr:spPr>
        <a:xfrm>
          <a:off x="5024176" y="17193149"/>
          <a:ext cx="53860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Lower</a:t>
          </a: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2" name="Group 1">
          <a:extLst>
            <a:ext uri="{FF2B5EF4-FFF2-40B4-BE49-F238E27FC236}">
              <a16:creationId xmlns:a16="http://schemas.microsoft.com/office/drawing/2014/main" id="{FF994426-AD3E-4D88-9393-77123887EADA}"/>
            </a:ext>
          </a:extLst>
        </xdr:cNvPr>
        <xdr:cNvGrpSpPr/>
      </xdr:nvGrpSpPr>
      <xdr:grpSpPr>
        <a:xfrm>
          <a:off x="40822" y="1183821"/>
          <a:ext cx="2515960" cy="594272"/>
          <a:chOff x="40822" y="1267641"/>
          <a:chExt cx="2570933" cy="630195"/>
        </a:xfrm>
      </xdr:grpSpPr>
      <xdr:pic>
        <xdr:nvPicPr>
          <xdr:cNvPr id="3" name="Picture 2">
            <a:hlinkClick xmlns:r="http://schemas.openxmlformats.org/officeDocument/2006/relationships" r:id="rId1"/>
            <a:extLst>
              <a:ext uri="{FF2B5EF4-FFF2-40B4-BE49-F238E27FC236}">
                <a16:creationId xmlns:a16="http://schemas.microsoft.com/office/drawing/2014/main" id="{A83DD010-42EC-4101-AF05-13470BCEA2A2}"/>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 name="Picture 3" descr="PayPal - The safer, easier way to pay online!">
            <a:hlinkClick xmlns:r="http://schemas.openxmlformats.org/officeDocument/2006/relationships" r:id="rId3"/>
            <a:extLst>
              <a:ext uri="{FF2B5EF4-FFF2-40B4-BE49-F238E27FC236}">
                <a16:creationId xmlns:a16="http://schemas.microsoft.com/office/drawing/2014/main" id="{33FF3588-C1C8-4E71-84C2-031562ED3E3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64</xdr:row>
      <xdr:rowOff>40821</xdr:rowOff>
    </xdr:from>
    <xdr:to>
      <xdr:col>4</xdr:col>
      <xdr:colOff>66675</xdr:colOff>
      <xdr:row>67</xdr:row>
      <xdr:rowOff>145236</xdr:rowOff>
    </xdr:to>
    <xdr:grpSp>
      <xdr:nvGrpSpPr>
        <xdr:cNvPr id="5" name="Group 4">
          <a:extLst>
            <a:ext uri="{FF2B5EF4-FFF2-40B4-BE49-F238E27FC236}">
              <a16:creationId xmlns:a16="http://schemas.microsoft.com/office/drawing/2014/main" id="{FBFEEC6D-8B52-4088-8BC5-E0BE9ACD07D0}"/>
            </a:ext>
          </a:extLst>
        </xdr:cNvPr>
        <xdr:cNvGrpSpPr/>
      </xdr:nvGrpSpPr>
      <xdr:grpSpPr>
        <a:xfrm>
          <a:off x="40822" y="10572750"/>
          <a:ext cx="2515960" cy="594272"/>
          <a:chOff x="40822" y="1267641"/>
          <a:chExt cx="2570933" cy="630195"/>
        </a:xfrm>
      </xdr:grpSpPr>
      <xdr:pic>
        <xdr:nvPicPr>
          <xdr:cNvPr id="6" name="Picture 5">
            <a:hlinkClick xmlns:r="http://schemas.openxmlformats.org/officeDocument/2006/relationships" r:id="rId1"/>
            <a:extLst>
              <a:ext uri="{FF2B5EF4-FFF2-40B4-BE49-F238E27FC236}">
                <a16:creationId xmlns:a16="http://schemas.microsoft.com/office/drawing/2014/main" id="{C056A447-0702-4EC5-B6E8-F4389000D928}"/>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3"/>
            <a:extLst>
              <a:ext uri="{FF2B5EF4-FFF2-40B4-BE49-F238E27FC236}">
                <a16:creationId xmlns:a16="http://schemas.microsoft.com/office/drawing/2014/main" id="{6526196E-D462-4D6F-8F8F-221500C4C57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285750</xdr:colOff>
      <xdr:row>36</xdr:row>
      <xdr:rowOff>0</xdr:rowOff>
    </xdr:from>
    <xdr:to>
      <xdr:col>9</xdr:col>
      <xdr:colOff>295275</xdr:colOff>
      <xdr:row>44</xdr:row>
      <xdr:rowOff>0</xdr:rowOff>
    </xdr:to>
    <xdr:grpSp>
      <xdr:nvGrpSpPr>
        <xdr:cNvPr id="8" name="Group 7">
          <a:extLst>
            <a:ext uri="{FF2B5EF4-FFF2-40B4-BE49-F238E27FC236}">
              <a16:creationId xmlns:a16="http://schemas.microsoft.com/office/drawing/2014/main" id="{FCEF1055-BFBC-4063-9131-D9C4B6E59797}"/>
            </a:ext>
          </a:extLst>
        </xdr:cNvPr>
        <xdr:cNvGrpSpPr/>
      </xdr:nvGrpSpPr>
      <xdr:grpSpPr>
        <a:xfrm>
          <a:off x="898071" y="5959929"/>
          <a:ext cx="4948918" cy="1306285"/>
          <a:chOff x="609600" y="6238875"/>
          <a:chExt cx="5524500" cy="1295400"/>
        </a:xfrm>
      </xdr:grpSpPr>
      <xdr:cxnSp macro="">
        <xdr:nvCxnSpPr>
          <xdr:cNvPr id="9" name="Straight Connector 8">
            <a:extLst>
              <a:ext uri="{FF2B5EF4-FFF2-40B4-BE49-F238E27FC236}">
                <a16:creationId xmlns:a16="http://schemas.microsoft.com/office/drawing/2014/main" id="{82F30B83-FE77-446B-92CD-4324624CBF27}"/>
              </a:ext>
            </a:extLst>
          </xdr:cNvPr>
          <xdr:cNvCxnSpPr/>
        </xdr:nvCxnSpPr>
        <xdr:spPr bwMode="auto">
          <a:xfrm>
            <a:off x="609600" y="6400800"/>
            <a:ext cx="0" cy="97155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0" name="Straight Connector 9">
            <a:extLst>
              <a:ext uri="{FF2B5EF4-FFF2-40B4-BE49-F238E27FC236}">
                <a16:creationId xmlns:a16="http://schemas.microsoft.com/office/drawing/2014/main" id="{CB15E3A3-1AA0-43F2-A2D6-885115E29DDB}"/>
              </a:ext>
            </a:extLst>
          </xdr:cNvPr>
          <xdr:cNvCxnSpPr/>
        </xdr:nvCxnSpPr>
        <xdr:spPr bwMode="auto">
          <a:xfrm flipV="1">
            <a:off x="609600" y="6238875"/>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1" name="Straight Connector 10">
            <a:extLst>
              <a:ext uri="{FF2B5EF4-FFF2-40B4-BE49-F238E27FC236}">
                <a16:creationId xmlns:a16="http://schemas.microsoft.com/office/drawing/2014/main" id="{5F0E4CD8-762E-452D-856F-B342DD581765}"/>
              </a:ext>
            </a:extLst>
          </xdr:cNvPr>
          <xdr:cNvCxnSpPr/>
        </xdr:nvCxnSpPr>
        <xdr:spPr bwMode="auto">
          <a:xfrm>
            <a:off x="609600" y="7372350"/>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2" name="Straight Connector 11">
            <a:extLst>
              <a:ext uri="{FF2B5EF4-FFF2-40B4-BE49-F238E27FC236}">
                <a16:creationId xmlns:a16="http://schemas.microsoft.com/office/drawing/2014/main" id="{BF4B1876-F238-4896-AF33-28C6F3133189}"/>
              </a:ext>
            </a:extLst>
          </xdr:cNvPr>
          <xdr:cNvCxnSpPr/>
        </xdr:nvCxnSpPr>
        <xdr:spPr bwMode="auto">
          <a:xfrm>
            <a:off x="6134100" y="6238875"/>
            <a:ext cx="0" cy="12954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editAs="oneCell">
    <xdr:from>
      <xdr:col>52</xdr:col>
      <xdr:colOff>104650</xdr:colOff>
      <xdr:row>36</xdr:row>
      <xdr:rowOff>108115</xdr:rowOff>
    </xdr:from>
    <xdr:to>
      <xdr:col>62</xdr:col>
      <xdr:colOff>103888</xdr:colOff>
      <xdr:row>72</xdr:row>
      <xdr:rowOff>29829</xdr:rowOff>
    </xdr:to>
    <xdr:pic>
      <xdr:nvPicPr>
        <xdr:cNvPr id="13" name="Picture 12">
          <a:extLst>
            <a:ext uri="{FF2B5EF4-FFF2-40B4-BE49-F238E27FC236}">
              <a16:creationId xmlns:a16="http://schemas.microsoft.com/office/drawing/2014/main" id="{A779106D-8742-4AD3-B805-565B1D820097}"/>
            </a:ext>
          </a:extLst>
        </xdr:cNvPr>
        <xdr:cNvPicPr>
          <a:picLocks noChangeAspect="1"/>
        </xdr:cNvPicPr>
      </xdr:nvPicPr>
      <xdr:blipFill>
        <a:blip xmlns:r="http://schemas.openxmlformats.org/officeDocument/2006/relationships" r:embed="rId5"/>
        <a:stretch>
          <a:fillRect/>
        </a:stretch>
      </xdr:blipFill>
      <xdr:spPr>
        <a:xfrm>
          <a:off x="29019829" y="6068044"/>
          <a:ext cx="6122452" cy="5840821"/>
        </a:xfrm>
        <a:prstGeom prst="rect">
          <a:avLst/>
        </a:prstGeom>
      </xdr:spPr>
    </xdr:pic>
    <xdr:clientData/>
  </xdr:twoCellAnchor>
  <xdr:twoCellAnchor>
    <xdr:from>
      <xdr:col>1</xdr:col>
      <xdr:colOff>285750</xdr:colOff>
      <xdr:row>43</xdr:row>
      <xdr:rowOff>104775</xdr:rowOff>
    </xdr:from>
    <xdr:to>
      <xdr:col>1</xdr:col>
      <xdr:colOff>285750</xdr:colOff>
      <xdr:row>46</xdr:row>
      <xdr:rowOff>9525</xdr:rowOff>
    </xdr:to>
    <xdr:cxnSp macro="">
      <xdr:nvCxnSpPr>
        <xdr:cNvPr id="14" name="Straight Connector 13">
          <a:extLst>
            <a:ext uri="{FF2B5EF4-FFF2-40B4-BE49-F238E27FC236}">
              <a16:creationId xmlns:a16="http://schemas.microsoft.com/office/drawing/2014/main" id="{DBAE7889-D9B5-4D14-BDF5-F8221AE4DA12}"/>
            </a:ext>
          </a:extLst>
        </xdr:cNvPr>
        <xdr:cNvCxnSpPr/>
      </xdr:nvCxnSpPr>
      <xdr:spPr bwMode="auto">
        <a:xfrm>
          <a:off x="895350" y="7477125"/>
          <a:ext cx="0" cy="3905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9</xdr:col>
      <xdr:colOff>295275</xdr:colOff>
      <xdr:row>44</xdr:row>
      <xdr:rowOff>85725</xdr:rowOff>
    </xdr:from>
    <xdr:to>
      <xdr:col>9</xdr:col>
      <xdr:colOff>295275</xdr:colOff>
      <xdr:row>46</xdr:row>
      <xdr:rowOff>19050</xdr:rowOff>
    </xdr:to>
    <xdr:cxnSp macro="">
      <xdr:nvCxnSpPr>
        <xdr:cNvPr id="15" name="Straight Connector 14">
          <a:extLst>
            <a:ext uri="{FF2B5EF4-FFF2-40B4-BE49-F238E27FC236}">
              <a16:creationId xmlns:a16="http://schemas.microsoft.com/office/drawing/2014/main" id="{F7ADA5A5-16E0-4DB8-A701-C64ED75506AF}"/>
            </a:ext>
          </a:extLst>
        </xdr:cNvPr>
        <xdr:cNvCxnSpPr/>
      </xdr:nvCxnSpPr>
      <xdr:spPr bwMode="auto">
        <a:xfrm>
          <a:off x="5819775" y="7620000"/>
          <a:ext cx="0" cy="25717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285750</xdr:colOff>
      <xdr:row>45</xdr:row>
      <xdr:rowOff>28575</xdr:rowOff>
    </xdr:from>
    <xdr:to>
      <xdr:col>9</xdr:col>
      <xdr:colOff>304800</xdr:colOff>
      <xdr:row>45</xdr:row>
      <xdr:rowOff>28575</xdr:rowOff>
    </xdr:to>
    <xdr:cxnSp macro="">
      <xdr:nvCxnSpPr>
        <xdr:cNvPr id="16" name="Straight Arrow Connector 15">
          <a:extLst>
            <a:ext uri="{FF2B5EF4-FFF2-40B4-BE49-F238E27FC236}">
              <a16:creationId xmlns:a16="http://schemas.microsoft.com/office/drawing/2014/main" id="{49FBA34A-E36D-4A47-834F-1A5128C1E787}"/>
            </a:ext>
          </a:extLst>
        </xdr:cNvPr>
        <xdr:cNvCxnSpPr/>
      </xdr:nvCxnSpPr>
      <xdr:spPr bwMode="auto">
        <a:xfrm>
          <a:off x="895350" y="7724775"/>
          <a:ext cx="4933950"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0</xdr:col>
      <xdr:colOff>571500</xdr:colOff>
      <xdr:row>37</xdr:row>
      <xdr:rowOff>0</xdr:rowOff>
    </xdr:from>
    <xdr:to>
      <xdr:col>1</xdr:col>
      <xdr:colOff>238125</xdr:colOff>
      <xdr:row>37</xdr:row>
      <xdr:rowOff>0</xdr:rowOff>
    </xdr:to>
    <xdr:cxnSp macro="">
      <xdr:nvCxnSpPr>
        <xdr:cNvPr id="17" name="Straight Connector 16">
          <a:extLst>
            <a:ext uri="{FF2B5EF4-FFF2-40B4-BE49-F238E27FC236}">
              <a16:creationId xmlns:a16="http://schemas.microsoft.com/office/drawing/2014/main" id="{8304E336-5DF6-4BCA-9669-61872033F59D}"/>
            </a:ext>
          </a:extLst>
        </xdr:cNvPr>
        <xdr:cNvCxnSpPr/>
      </xdr:nvCxnSpPr>
      <xdr:spPr bwMode="auto">
        <a:xfrm flipH="1">
          <a:off x="571500" y="6400800"/>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0</xdr:col>
      <xdr:colOff>571500</xdr:colOff>
      <xdr:row>43</xdr:row>
      <xdr:rowOff>0</xdr:rowOff>
    </xdr:from>
    <xdr:to>
      <xdr:col>1</xdr:col>
      <xdr:colOff>238125</xdr:colOff>
      <xdr:row>43</xdr:row>
      <xdr:rowOff>0</xdr:rowOff>
    </xdr:to>
    <xdr:cxnSp macro="">
      <xdr:nvCxnSpPr>
        <xdr:cNvPr id="18" name="Straight Connector 17">
          <a:extLst>
            <a:ext uri="{FF2B5EF4-FFF2-40B4-BE49-F238E27FC236}">
              <a16:creationId xmlns:a16="http://schemas.microsoft.com/office/drawing/2014/main" id="{33E90770-2E41-4B0B-876A-E1E065B5023F}"/>
            </a:ext>
          </a:extLst>
        </xdr:cNvPr>
        <xdr:cNvCxnSpPr/>
      </xdr:nvCxnSpPr>
      <xdr:spPr bwMode="auto">
        <a:xfrm flipH="1">
          <a:off x="571500" y="7372350"/>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57150</xdr:colOff>
      <xdr:row>37</xdr:row>
      <xdr:rowOff>0</xdr:rowOff>
    </xdr:from>
    <xdr:to>
      <xdr:col>1</xdr:col>
      <xdr:colOff>57150</xdr:colOff>
      <xdr:row>43</xdr:row>
      <xdr:rowOff>9525</xdr:rowOff>
    </xdr:to>
    <xdr:cxnSp macro="">
      <xdr:nvCxnSpPr>
        <xdr:cNvPr id="19" name="Straight Arrow Connector 18">
          <a:extLst>
            <a:ext uri="{FF2B5EF4-FFF2-40B4-BE49-F238E27FC236}">
              <a16:creationId xmlns:a16="http://schemas.microsoft.com/office/drawing/2014/main" id="{703A93D9-6E8F-4E49-94CF-E6D5C773575D}"/>
            </a:ext>
          </a:extLst>
        </xdr:cNvPr>
        <xdr:cNvCxnSpPr/>
      </xdr:nvCxnSpPr>
      <xdr:spPr bwMode="auto">
        <a:xfrm>
          <a:off x="666750" y="6400800"/>
          <a:ext cx="0" cy="981075"/>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9</xdr:col>
      <xdr:colOff>342900</xdr:colOff>
      <xdr:row>36</xdr:row>
      <xdr:rowOff>0</xdr:rowOff>
    </xdr:from>
    <xdr:to>
      <xdr:col>10</xdr:col>
      <xdr:colOff>9525</xdr:colOff>
      <xdr:row>36</xdr:row>
      <xdr:rowOff>0</xdr:rowOff>
    </xdr:to>
    <xdr:cxnSp macro="">
      <xdr:nvCxnSpPr>
        <xdr:cNvPr id="20" name="Straight Connector 19">
          <a:extLst>
            <a:ext uri="{FF2B5EF4-FFF2-40B4-BE49-F238E27FC236}">
              <a16:creationId xmlns:a16="http://schemas.microsoft.com/office/drawing/2014/main" id="{5389ED17-89ED-4A3F-B8D7-8A1F913BAB6D}"/>
            </a:ext>
          </a:extLst>
        </xdr:cNvPr>
        <xdr:cNvCxnSpPr/>
      </xdr:nvCxnSpPr>
      <xdr:spPr bwMode="auto">
        <a:xfrm flipH="1">
          <a:off x="5867400" y="6238875"/>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9</xdr:col>
      <xdr:colOff>342900</xdr:colOff>
      <xdr:row>44</xdr:row>
      <xdr:rowOff>0</xdr:rowOff>
    </xdr:from>
    <xdr:to>
      <xdr:col>10</xdr:col>
      <xdr:colOff>9525</xdr:colOff>
      <xdr:row>44</xdr:row>
      <xdr:rowOff>0</xdr:rowOff>
    </xdr:to>
    <xdr:cxnSp macro="">
      <xdr:nvCxnSpPr>
        <xdr:cNvPr id="21" name="Straight Connector 20">
          <a:extLst>
            <a:ext uri="{FF2B5EF4-FFF2-40B4-BE49-F238E27FC236}">
              <a16:creationId xmlns:a16="http://schemas.microsoft.com/office/drawing/2014/main" id="{B72A924C-E35C-4730-825C-FB3062BE5FB1}"/>
            </a:ext>
          </a:extLst>
        </xdr:cNvPr>
        <xdr:cNvCxnSpPr/>
      </xdr:nvCxnSpPr>
      <xdr:spPr bwMode="auto">
        <a:xfrm flipH="1">
          <a:off x="5867400" y="7534275"/>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9</xdr:col>
      <xdr:colOff>523875</xdr:colOff>
      <xdr:row>36</xdr:row>
      <xdr:rowOff>9525</xdr:rowOff>
    </xdr:from>
    <xdr:to>
      <xdr:col>9</xdr:col>
      <xdr:colOff>523875</xdr:colOff>
      <xdr:row>44</xdr:row>
      <xdr:rowOff>0</xdr:rowOff>
    </xdr:to>
    <xdr:cxnSp macro="">
      <xdr:nvCxnSpPr>
        <xdr:cNvPr id="22" name="Straight Arrow Connector 21">
          <a:extLst>
            <a:ext uri="{FF2B5EF4-FFF2-40B4-BE49-F238E27FC236}">
              <a16:creationId xmlns:a16="http://schemas.microsoft.com/office/drawing/2014/main" id="{01246F53-B119-40EC-BD83-FB4ADB5D2650}"/>
            </a:ext>
          </a:extLst>
        </xdr:cNvPr>
        <xdr:cNvCxnSpPr/>
      </xdr:nvCxnSpPr>
      <xdr:spPr bwMode="auto">
        <a:xfrm>
          <a:off x="6048375" y="6248400"/>
          <a:ext cx="0" cy="1285875"/>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1</xdr:col>
      <xdr:colOff>180975</xdr:colOff>
      <xdr:row>38</xdr:row>
      <xdr:rowOff>114300</xdr:rowOff>
    </xdr:from>
    <xdr:to>
      <xdr:col>9</xdr:col>
      <xdr:colOff>428625</xdr:colOff>
      <xdr:row>39</xdr:row>
      <xdr:rowOff>57150</xdr:rowOff>
    </xdr:to>
    <xdr:cxnSp macro="">
      <xdr:nvCxnSpPr>
        <xdr:cNvPr id="23" name="Straight Connector 22">
          <a:extLst>
            <a:ext uri="{FF2B5EF4-FFF2-40B4-BE49-F238E27FC236}">
              <a16:creationId xmlns:a16="http://schemas.microsoft.com/office/drawing/2014/main" id="{4F599DDB-9CAD-4481-8AEB-02F0FB5E8A64}"/>
            </a:ext>
          </a:extLst>
        </xdr:cNvPr>
        <xdr:cNvCxnSpPr/>
      </xdr:nvCxnSpPr>
      <xdr:spPr bwMode="auto">
        <a:xfrm flipV="1">
          <a:off x="790575" y="6677025"/>
          <a:ext cx="5162550" cy="104775"/>
        </a:xfrm>
        <a:prstGeom prst="line">
          <a:avLst/>
        </a:prstGeom>
        <a:solidFill>
          <a:srgbClr val="FFFFFF"/>
        </a:solidFill>
        <a:ln w="9525" cap="flat" cmpd="sng" algn="ctr">
          <a:solidFill>
            <a:srgbClr val="000000"/>
          </a:solidFill>
          <a:prstDash val="lgDash"/>
          <a:round/>
          <a:headEnd type="none" w="med" len="med"/>
          <a:tailEnd type="none" w="med" len="med"/>
        </a:ln>
        <a:effectLst/>
      </xdr:spPr>
    </xdr:cxnSp>
    <xdr:clientData/>
  </xdr:twoCellAnchor>
  <xdr:twoCellAnchor>
    <xdr:from>
      <xdr:col>9</xdr:col>
      <xdr:colOff>371475</xdr:colOff>
      <xdr:row>36</xdr:row>
      <xdr:rowOff>9525</xdr:rowOff>
    </xdr:from>
    <xdr:to>
      <xdr:col>9</xdr:col>
      <xdr:colOff>371475</xdr:colOff>
      <xdr:row>38</xdr:row>
      <xdr:rowOff>123825</xdr:rowOff>
    </xdr:to>
    <xdr:cxnSp macro="">
      <xdr:nvCxnSpPr>
        <xdr:cNvPr id="24" name="Straight Arrow Connector 23">
          <a:extLst>
            <a:ext uri="{FF2B5EF4-FFF2-40B4-BE49-F238E27FC236}">
              <a16:creationId xmlns:a16="http://schemas.microsoft.com/office/drawing/2014/main" id="{447982F6-C4EA-43F3-AF99-77E47CEEA8B5}"/>
            </a:ext>
          </a:extLst>
        </xdr:cNvPr>
        <xdr:cNvCxnSpPr/>
      </xdr:nvCxnSpPr>
      <xdr:spPr bwMode="auto">
        <a:xfrm>
          <a:off x="5895975" y="6248400"/>
          <a:ext cx="0" cy="43815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1</xdr:col>
      <xdr:colOff>200025</xdr:colOff>
      <xdr:row>37</xdr:row>
      <xdr:rowOff>0</xdr:rowOff>
    </xdr:from>
    <xdr:to>
      <xdr:col>1</xdr:col>
      <xdr:colOff>200025</xdr:colOff>
      <xdr:row>39</xdr:row>
      <xdr:rowOff>57150</xdr:rowOff>
    </xdr:to>
    <xdr:cxnSp macro="">
      <xdr:nvCxnSpPr>
        <xdr:cNvPr id="25" name="Straight Arrow Connector 24">
          <a:extLst>
            <a:ext uri="{FF2B5EF4-FFF2-40B4-BE49-F238E27FC236}">
              <a16:creationId xmlns:a16="http://schemas.microsoft.com/office/drawing/2014/main" id="{6EF47D26-425C-4A3D-9800-4213FC5E0F01}"/>
            </a:ext>
          </a:extLst>
        </xdr:cNvPr>
        <xdr:cNvCxnSpPr/>
      </xdr:nvCxnSpPr>
      <xdr:spPr bwMode="auto">
        <a:xfrm>
          <a:off x="809625" y="6400800"/>
          <a:ext cx="0" cy="38100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1</xdr:col>
      <xdr:colOff>0</xdr:colOff>
      <xdr:row>84</xdr:row>
      <xdr:rowOff>112058</xdr:rowOff>
    </xdr:from>
    <xdr:to>
      <xdr:col>10</xdr:col>
      <xdr:colOff>0</xdr:colOff>
      <xdr:row>105</xdr:row>
      <xdr:rowOff>112058</xdr:rowOff>
    </xdr:to>
    <xdr:graphicFrame macro="">
      <xdr:nvGraphicFramePr>
        <xdr:cNvPr id="26" name="Chart 25">
          <a:extLst>
            <a:ext uri="{FF2B5EF4-FFF2-40B4-BE49-F238E27FC236}">
              <a16:creationId xmlns:a16="http://schemas.microsoft.com/office/drawing/2014/main" id="{8B6B2B5F-867E-45F0-A319-28713F59BF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106</xdr:row>
      <xdr:rowOff>78440</xdr:rowOff>
    </xdr:from>
    <xdr:to>
      <xdr:col>4</xdr:col>
      <xdr:colOff>0</xdr:colOff>
      <xdr:row>106</xdr:row>
      <xdr:rowOff>78440</xdr:rowOff>
    </xdr:to>
    <xdr:cxnSp macro="">
      <xdr:nvCxnSpPr>
        <xdr:cNvPr id="27" name="Straight Connector 26">
          <a:extLst>
            <a:ext uri="{FF2B5EF4-FFF2-40B4-BE49-F238E27FC236}">
              <a16:creationId xmlns:a16="http://schemas.microsoft.com/office/drawing/2014/main" id="{A14078EF-7DC8-448C-90FC-B9681A797092}"/>
            </a:ext>
          </a:extLst>
        </xdr:cNvPr>
        <xdr:cNvCxnSpPr/>
      </xdr:nvCxnSpPr>
      <xdr:spPr bwMode="auto">
        <a:xfrm>
          <a:off x="1866900" y="16242365"/>
          <a:ext cx="6096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3</xdr:col>
      <xdr:colOff>0</xdr:colOff>
      <xdr:row>107</xdr:row>
      <xdr:rowOff>78440</xdr:rowOff>
    </xdr:from>
    <xdr:to>
      <xdr:col>4</xdr:col>
      <xdr:colOff>0</xdr:colOff>
      <xdr:row>107</xdr:row>
      <xdr:rowOff>78440</xdr:rowOff>
    </xdr:to>
    <xdr:cxnSp macro="">
      <xdr:nvCxnSpPr>
        <xdr:cNvPr id="28" name="Straight Connector 27">
          <a:extLst>
            <a:ext uri="{FF2B5EF4-FFF2-40B4-BE49-F238E27FC236}">
              <a16:creationId xmlns:a16="http://schemas.microsoft.com/office/drawing/2014/main" id="{4755718A-B0BE-4AD1-9D8D-1E72ECCDCC72}"/>
            </a:ext>
          </a:extLst>
        </xdr:cNvPr>
        <xdr:cNvCxnSpPr/>
      </xdr:nvCxnSpPr>
      <xdr:spPr bwMode="auto">
        <a:xfrm>
          <a:off x="1866900" y="16404290"/>
          <a:ext cx="609600" cy="0"/>
        </a:xfrm>
        <a:prstGeom prst="line">
          <a:avLst/>
        </a:prstGeom>
        <a:solidFill>
          <a:srgbClr val="FFFFFF"/>
        </a:solidFill>
        <a:ln w="19050" cap="flat" cmpd="sng" algn="ctr">
          <a:solidFill>
            <a:srgbClr val="000000"/>
          </a:solidFill>
          <a:prstDash val="sysDash"/>
          <a:round/>
          <a:headEnd type="none" w="med" len="med"/>
          <a:tailEnd type="none" w="med" len="med"/>
        </a:ln>
        <a:effectLst/>
      </xdr:spPr>
    </xdr:cxnSp>
    <xdr:clientData/>
  </xdr:twoCellAnchor>
  <xdr:twoCellAnchor>
    <xdr:from>
      <xdr:col>3</xdr:col>
      <xdr:colOff>163286</xdr:colOff>
      <xdr:row>73</xdr:row>
      <xdr:rowOff>0</xdr:rowOff>
    </xdr:from>
    <xdr:to>
      <xdr:col>3</xdr:col>
      <xdr:colOff>163286</xdr:colOff>
      <xdr:row>80</xdr:row>
      <xdr:rowOff>0</xdr:rowOff>
    </xdr:to>
    <xdr:cxnSp macro="">
      <xdr:nvCxnSpPr>
        <xdr:cNvPr id="29" name="Straight Connector 28">
          <a:extLst>
            <a:ext uri="{FF2B5EF4-FFF2-40B4-BE49-F238E27FC236}">
              <a16:creationId xmlns:a16="http://schemas.microsoft.com/office/drawing/2014/main" id="{F8F773B9-7B33-46EA-B1A8-1719D66FFC29}"/>
            </a:ext>
          </a:extLst>
        </xdr:cNvPr>
        <xdr:cNvCxnSpPr/>
      </xdr:nvCxnSpPr>
      <xdr:spPr bwMode="auto">
        <a:xfrm>
          <a:off x="2030186" y="11144250"/>
          <a:ext cx="0" cy="113347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0</xdr:colOff>
      <xdr:row>79</xdr:row>
      <xdr:rowOff>0</xdr:rowOff>
    </xdr:from>
    <xdr:to>
      <xdr:col>8</xdr:col>
      <xdr:colOff>0</xdr:colOff>
      <xdr:row>79</xdr:row>
      <xdr:rowOff>0</xdr:rowOff>
    </xdr:to>
    <xdr:cxnSp macro="">
      <xdr:nvCxnSpPr>
        <xdr:cNvPr id="30" name="Straight Connector 29">
          <a:extLst>
            <a:ext uri="{FF2B5EF4-FFF2-40B4-BE49-F238E27FC236}">
              <a16:creationId xmlns:a16="http://schemas.microsoft.com/office/drawing/2014/main" id="{0EDEDAA9-D27D-4D29-8395-82BE346C0ED9}"/>
            </a:ext>
          </a:extLst>
        </xdr:cNvPr>
        <xdr:cNvCxnSpPr/>
      </xdr:nvCxnSpPr>
      <xdr:spPr bwMode="auto">
        <a:xfrm>
          <a:off x="1866900" y="12115800"/>
          <a:ext cx="3048000"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168520</xdr:colOff>
      <xdr:row>75</xdr:row>
      <xdr:rowOff>7327</xdr:rowOff>
    </xdr:from>
    <xdr:to>
      <xdr:col>7</xdr:col>
      <xdr:colOff>0</xdr:colOff>
      <xdr:row>77</xdr:row>
      <xdr:rowOff>0</xdr:rowOff>
    </xdr:to>
    <xdr:cxnSp macro="">
      <xdr:nvCxnSpPr>
        <xdr:cNvPr id="32" name="Straight Connector 31">
          <a:extLst>
            <a:ext uri="{FF2B5EF4-FFF2-40B4-BE49-F238E27FC236}">
              <a16:creationId xmlns:a16="http://schemas.microsoft.com/office/drawing/2014/main" id="{3C3A49F1-5B6E-4BF7-A6A6-C6B7E6314132}"/>
            </a:ext>
          </a:extLst>
        </xdr:cNvPr>
        <xdr:cNvCxnSpPr/>
      </xdr:nvCxnSpPr>
      <xdr:spPr bwMode="auto">
        <a:xfrm>
          <a:off x="2036885" y="11422673"/>
          <a:ext cx="2264019" cy="31505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7</xdr:col>
      <xdr:colOff>0</xdr:colOff>
      <xdr:row>77</xdr:row>
      <xdr:rowOff>0</xdr:rowOff>
    </xdr:from>
    <xdr:to>
      <xdr:col>7</xdr:col>
      <xdr:colOff>0</xdr:colOff>
      <xdr:row>79</xdr:row>
      <xdr:rowOff>0</xdr:rowOff>
    </xdr:to>
    <xdr:cxnSp macro="">
      <xdr:nvCxnSpPr>
        <xdr:cNvPr id="33" name="Straight Connector 32">
          <a:extLst>
            <a:ext uri="{FF2B5EF4-FFF2-40B4-BE49-F238E27FC236}">
              <a16:creationId xmlns:a16="http://schemas.microsoft.com/office/drawing/2014/main" id="{787D9310-7D31-41F1-A40E-6D5F0359A395}"/>
            </a:ext>
          </a:extLst>
        </xdr:cNvPr>
        <xdr:cNvCxnSpPr/>
      </xdr:nvCxnSpPr>
      <xdr:spPr bwMode="auto">
        <a:xfrm>
          <a:off x="4300904" y="11737731"/>
          <a:ext cx="0" cy="32238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4</xdr:col>
      <xdr:colOff>0</xdr:colOff>
      <xdr:row>41</xdr:row>
      <xdr:rowOff>0</xdr:rowOff>
    </xdr:from>
    <xdr:to>
      <xdr:col>7</xdr:col>
      <xdr:colOff>0</xdr:colOff>
      <xdr:row>41</xdr:row>
      <xdr:rowOff>0</xdr:rowOff>
    </xdr:to>
    <xdr:cxnSp macro="">
      <xdr:nvCxnSpPr>
        <xdr:cNvPr id="34" name="Straight Arrow Connector 33">
          <a:extLst>
            <a:ext uri="{FF2B5EF4-FFF2-40B4-BE49-F238E27FC236}">
              <a16:creationId xmlns:a16="http://schemas.microsoft.com/office/drawing/2014/main" id="{133CD4EE-F97A-416B-98AE-00038FAA2300}"/>
            </a:ext>
          </a:extLst>
        </xdr:cNvPr>
        <xdr:cNvCxnSpPr/>
      </xdr:nvCxnSpPr>
      <xdr:spPr bwMode="auto">
        <a:xfrm flipH="1">
          <a:off x="2476500" y="7048500"/>
          <a:ext cx="1828800" cy="0"/>
        </a:xfrm>
        <a:prstGeom prst="straightConnector1">
          <a:avLst/>
        </a:prstGeom>
        <a:solidFill>
          <a:srgbClr val="FFFFFF"/>
        </a:solidFill>
        <a:ln w="28575" cap="flat" cmpd="sng" algn="ctr">
          <a:solidFill>
            <a:srgbClr val="000000"/>
          </a:solidFill>
          <a:prstDash val="solid"/>
          <a:round/>
          <a:headEnd type="none" w="med" len="med"/>
          <a:tailEnd type="triangle"/>
        </a:ln>
        <a:effectLst/>
      </xdr:spPr>
    </xdr:cxnSp>
    <xdr:clientData/>
  </xdr:twoCellAnchor>
  <xdr:oneCellAnchor>
    <xdr:from>
      <xdr:col>2</xdr:col>
      <xdr:colOff>439615</xdr:colOff>
      <xdr:row>76</xdr:row>
      <xdr:rowOff>43961</xdr:rowOff>
    </xdr:from>
    <xdr:ext cx="381643" cy="264560"/>
    <xdr:sp macro="" textlink="">
      <xdr:nvSpPr>
        <xdr:cNvPr id="38" name="TextBox 37">
          <a:extLst>
            <a:ext uri="{FF2B5EF4-FFF2-40B4-BE49-F238E27FC236}">
              <a16:creationId xmlns:a16="http://schemas.microsoft.com/office/drawing/2014/main" id="{F7DCB911-CD4A-4EA6-BD4D-C4DA00981930}"/>
            </a:ext>
          </a:extLst>
        </xdr:cNvPr>
        <xdr:cNvSpPr txBox="1"/>
      </xdr:nvSpPr>
      <xdr:spPr>
        <a:xfrm>
          <a:off x="1670538" y="11620499"/>
          <a:ext cx="38164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2W</a:t>
          </a:r>
        </a:p>
      </xdr:txBody>
    </xdr:sp>
    <xdr:clientData/>
  </xdr:oneCellAnchor>
  <xdr:oneCellAnchor>
    <xdr:from>
      <xdr:col>6</xdr:col>
      <xdr:colOff>549520</xdr:colOff>
      <xdr:row>77</xdr:row>
      <xdr:rowOff>58614</xdr:rowOff>
    </xdr:from>
    <xdr:ext cx="310150" cy="264560"/>
    <xdr:sp macro="" textlink="">
      <xdr:nvSpPr>
        <xdr:cNvPr id="39" name="TextBox 38">
          <a:extLst>
            <a:ext uri="{FF2B5EF4-FFF2-40B4-BE49-F238E27FC236}">
              <a16:creationId xmlns:a16="http://schemas.microsoft.com/office/drawing/2014/main" id="{304C6E18-92B5-453C-A34B-FAADF4CB41FD}"/>
            </a:ext>
          </a:extLst>
        </xdr:cNvPr>
        <xdr:cNvSpPr txBox="1"/>
      </xdr:nvSpPr>
      <xdr:spPr>
        <a:xfrm>
          <a:off x="4242289" y="11796345"/>
          <a:ext cx="3101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W</a:t>
          </a:r>
        </a:p>
      </xdr:txBody>
    </xdr:sp>
    <xdr:clientData/>
  </xdr:oneCellAnchor>
  <xdr:twoCellAnchor>
    <xdr:from>
      <xdr:col>0</xdr:col>
      <xdr:colOff>40822</xdr:colOff>
      <xdr:row>123</xdr:row>
      <xdr:rowOff>40821</xdr:rowOff>
    </xdr:from>
    <xdr:to>
      <xdr:col>4</xdr:col>
      <xdr:colOff>66675</xdr:colOff>
      <xdr:row>126</xdr:row>
      <xdr:rowOff>145236</xdr:rowOff>
    </xdr:to>
    <xdr:grpSp>
      <xdr:nvGrpSpPr>
        <xdr:cNvPr id="40" name="Group 39">
          <a:extLst>
            <a:ext uri="{FF2B5EF4-FFF2-40B4-BE49-F238E27FC236}">
              <a16:creationId xmlns:a16="http://schemas.microsoft.com/office/drawing/2014/main" id="{2FD8DA90-97E4-4BC4-92CD-AC9D164513E0}"/>
            </a:ext>
          </a:extLst>
        </xdr:cNvPr>
        <xdr:cNvGrpSpPr/>
      </xdr:nvGrpSpPr>
      <xdr:grpSpPr>
        <a:xfrm>
          <a:off x="40822" y="20261035"/>
          <a:ext cx="2515960" cy="594272"/>
          <a:chOff x="40822" y="1267641"/>
          <a:chExt cx="2570933" cy="630195"/>
        </a:xfrm>
      </xdr:grpSpPr>
      <xdr:pic>
        <xdr:nvPicPr>
          <xdr:cNvPr id="41" name="Picture 40">
            <a:hlinkClick xmlns:r="http://schemas.openxmlformats.org/officeDocument/2006/relationships" r:id="rId1"/>
            <a:extLst>
              <a:ext uri="{FF2B5EF4-FFF2-40B4-BE49-F238E27FC236}">
                <a16:creationId xmlns:a16="http://schemas.microsoft.com/office/drawing/2014/main" id="{DFD94108-3D41-4E48-A3EA-5EABA96EA2B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2" name="Picture 41" descr="PayPal - The safer, easier way to pay online!">
            <a:hlinkClick xmlns:r="http://schemas.openxmlformats.org/officeDocument/2006/relationships" r:id="rId3"/>
            <a:extLst>
              <a:ext uri="{FF2B5EF4-FFF2-40B4-BE49-F238E27FC236}">
                <a16:creationId xmlns:a16="http://schemas.microsoft.com/office/drawing/2014/main" id="{0753BB87-6819-4A46-80B8-68D444E9C2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0</xdr:colOff>
      <xdr:row>131</xdr:row>
      <xdr:rowOff>112058</xdr:rowOff>
    </xdr:from>
    <xdr:to>
      <xdr:col>10</xdr:col>
      <xdr:colOff>0</xdr:colOff>
      <xdr:row>152</xdr:row>
      <xdr:rowOff>112058</xdr:rowOff>
    </xdr:to>
    <xdr:graphicFrame macro="">
      <xdr:nvGraphicFramePr>
        <xdr:cNvPr id="43" name="Chart 42">
          <a:extLst>
            <a:ext uri="{FF2B5EF4-FFF2-40B4-BE49-F238E27FC236}">
              <a16:creationId xmlns:a16="http://schemas.microsoft.com/office/drawing/2014/main" id="{E074FDC8-CF44-44E8-8F4D-110C97E1A9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153</xdr:row>
      <xdr:rowOff>78440</xdr:rowOff>
    </xdr:from>
    <xdr:to>
      <xdr:col>4</xdr:col>
      <xdr:colOff>0</xdr:colOff>
      <xdr:row>153</xdr:row>
      <xdr:rowOff>78440</xdr:rowOff>
    </xdr:to>
    <xdr:cxnSp macro="">
      <xdr:nvCxnSpPr>
        <xdr:cNvPr id="44" name="Straight Connector 43">
          <a:extLst>
            <a:ext uri="{FF2B5EF4-FFF2-40B4-BE49-F238E27FC236}">
              <a16:creationId xmlns:a16="http://schemas.microsoft.com/office/drawing/2014/main" id="{B61A29DD-DA61-4951-BDC4-D0C65335B48B}"/>
            </a:ext>
          </a:extLst>
        </xdr:cNvPr>
        <xdr:cNvCxnSpPr/>
      </xdr:nvCxnSpPr>
      <xdr:spPr bwMode="auto">
        <a:xfrm>
          <a:off x="1860176" y="16080440"/>
          <a:ext cx="605118"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3</xdr:col>
      <xdr:colOff>0</xdr:colOff>
      <xdr:row>154</xdr:row>
      <xdr:rowOff>78440</xdr:rowOff>
    </xdr:from>
    <xdr:to>
      <xdr:col>4</xdr:col>
      <xdr:colOff>0</xdr:colOff>
      <xdr:row>154</xdr:row>
      <xdr:rowOff>78440</xdr:rowOff>
    </xdr:to>
    <xdr:cxnSp macro="">
      <xdr:nvCxnSpPr>
        <xdr:cNvPr id="45" name="Straight Connector 44">
          <a:extLst>
            <a:ext uri="{FF2B5EF4-FFF2-40B4-BE49-F238E27FC236}">
              <a16:creationId xmlns:a16="http://schemas.microsoft.com/office/drawing/2014/main" id="{551D1788-ACE0-4977-B867-D060DF5308F1}"/>
            </a:ext>
          </a:extLst>
        </xdr:cNvPr>
        <xdr:cNvCxnSpPr/>
      </xdr:nvCxnSpPr>
      <xdr:spPr bwMode="auto">
        <a:xfrm>
          <a:off x="1860176" y="16237322"/>
          <a:ext cx="605118" cy="0"/>
        </a:xfrm>
        <a:prstGeom prst="line">
          <a:avLst/>
        </a:prstGeom>
        <a:solidFill>
          <a:srgbClr val="FFFFFF"/>
        </a:solidFill>
        <a:ln w="19050" cap="flat" cmpd="sng" algn="ctr">
          <a:solidFill>
            <a:srgbClr val="000000"/>
          </a:solidFill>
          <a:prstDash val="sysDash"/>
          <a:round/>
          <a:headEnd type="none" w="med" len="med"/>
          <a:tailEnd type="none" w="med" len="med"/>
        </a:ln>
        <a:effectLst/>
      </xdr:spPr>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www.xl-viking.com/" TargetMode="External"/><Relationship Id="rId7"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hyperlink" Target="http://www.xl-viking.com/" TargetMode="External"/><Relationship Id="rId5" Type="http://schemas.openxmlformats.org/officeDocument/2006/relationships/hyperlink" Target="http://www.xl-viking.com/" TargetMode="External"/><Relationship Id="rId4" Type="http://schemas.openxmlformats.org/officeDocument/2006/relationships/hyperlink" Target="http://www.xl-viking.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4"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4" Type="http://schemas.openxmlformats.org/officeDocument/2006/relationships/drawing" Target="../drawings/drawing6.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4" Type="http://schemas.openxmlformats.org/officeDocument/2006/relationships/drawing" Target="../drawings/drawing7.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4" Type="http://schemas.openxmlformats.org/officeDocument/2006/relationships/drawing" Target="../drawings/drawing8.xml"/></Relationships>
</file>

<file path=xl/worksheets/_rels/sheet7.xml.rels><?xml version="1.0" encoding="UTF-8" standalone="yes"?>
<Relationships xmlns="http://schemas.openxmlformats.org/package/2006/relationships"><Relationship Id="rId3" Type="http://schemas.openxmlformats.org/officeDocument/2006/relationships/hyperlink" Target="http://www.xl-viking.com/" TargetMode="Externa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5" Type="http://schemas.openxmlformats.org/officeDocument/2006/relationships/drawing" Target="../drawings/drawing9.xml"/><Relationship Id="rId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J60" sqref="J60"/>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99" t="s">
        <v>36</v>
      </c>
      <c r="C16" s="199"/>
      <c r="D16" s="199"/>
      <c r="E16" s="199"/>
      <c r="F16" s="199"/>
      <c r="G16" s="199"/>
      <c r="H16" s="199"/>
      <c r="I16" s="199"/>
      <c r="J16" s="199"/>
      <c r="M16" s="65"/>
      <c r="N16" s="65"/>
      <c r="O16" s="65"/>
      <c r="P16" s="65"/>
      <c r="Q16" s="65"/>
      <c r="R16" s="66"/>
      <c r="S16" s="66"/>
      <c r="T16" s="62"/>
      <c r="U16" s="62"/>
      <c r="V16" s="62"/>
      <c r="W16" s="62"/>
      <c r="X16" s="62"/>
      <c r="Y16" s="62"/>
    </row>
    <row r="17" spans="1:25" s="5" customFormat="1" ht="12.75" x14ac:dyDescent="0.2">
      <c r="B17" s="199"/>
      <c r="C17" s="199"/>
      <c r="D17" s="199"/>
      <c r="E17" s="199"/>
      <c r="F17" s="199"/>
      <c r="G17" s="199"/>
      <c r="H17" s="199"/>
      <c r="I17" s="199"/>
      <c r="J17" s="199"/>
      <c r="M17" s="65"/>
      <c r="N17" s="65"/>
      <c r="O17" s="65"/>
      <c r="P17" s="65"/>
      <c r="Q17" s="65"/>
      <c r="R17" s="66"/>
      <c r="S17" s="66"/>
      <c r="T17" s="62"/>
      <c r="U17" s="62"/>
      <c r="V17" s="62"/>
      <c r="W17" s="62"/>
      <c r="X17" s="62"/>
      <c r="Y17" s="62"/>
    </row>
    <row r="18" spans="1:25" s="5" customFormat="1" ht="12.75" x14ac:dyDescent="0.2">
      <c r="B18" s="199"/>
      <c r="C18" s="199"/>
      <c r="D18" s="199"/>
      <c r="E18" s="199"/>
      <c r="F18" s="199"/>
      <c r="G18" s="199"/>
      <c r="H18" s="199"/>
      <c r="I18" s="199"/>
      <c r="J18" s="199"/>
      <c r="M18" s="65"/>
      <c r="N18" s="65"/>
      <c r="O18" s="65"/>
      <c r="P18" s="65"/>
      <c r="Q18" s="65"/>
      <c r="R18" s="66"/>
      <c r="S18" s="66"/>
      <c r="T18" s="62"/>
      <c r="U18" s="62"/>
      <c r="V18" s="62"/>
      <c r="W18" s="62"/>
      <c r="X18" s="62"/>
      <c r="Y18" s="62"/>
    </row>
    <row r="19" spans="1:25" s="5" customFormat="1" ht="12.75" x14ac:dyDescent="0.2">
      <c r="B19" s="199"/>
      <c r="C19" s="199"/>
      <c r="D19" s="199"/>
      <c r="E19" s="199"/>
      <c r="F19" s="199"/>
      <c r="G19" s="199"/>
      <c r="H19" s="199"/>
      <c r="I19" s="199"/>
      <c r="J19" s="199"/>
      <c r="M19" s="65"/>
      <c r="N19" s="65"/>
      <c r="O19" s="65"/>
      <c r="P19" s="65"/>
      <c r="Q19" s="65"/>
      <c r="R19" s="66"/>
      <c r="S19" s="66"/>
      <c r="T19" s="62"/>
      <c r="U19" s="62"/>
      <c r="V19" s="62"/>
      <c r="W19" s="62"/>
      <c r="X19" s="62"/>
      <c r="Y19" s="62"/>
    </row>
    <row r="20" spans="1:25" s="5" customFormat="1" ht="12.75" customHeight="1" x14ac:dyDescent="0.2">
      <c r="A20" s="23"/>
      <c r="B20" s="24" t="s">
        <v>34</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99" t="s">
        <v>37</v>
      </c>
      <c r="C22" s="199"/>
      <c r="D22" s="199"/>
      <c r="E22" s="199"/>
      <c r="F22" s="199"/>
      <c r="G22" s="199"/>
      <c r="H22" s="199"/>
      <c r="I22" s="199"/>
      <c r="J22" s="199"/>
      <c r="K22" s="23"/>
      <c r="M22" s="65"/>
      <c r="N22" s="65"/>
      <c r="O22" s="65"/>
      <c r="P22" s="65"/>
      <c r="Q22" s="65"/>
      <c r="R22" s="66"/>
      <c r="S22" s="66"/>
      <c r="T22" s="62"/>
      <c r="U22" s="62"/>
      <c r="V22" s="62"/>
      <c r="W22" s="62"/>
      <c r="X22" s="62"/>
      <c r="Y22" s="62"/>
    </row>
    <row r="23" spans="1:25" s="5" customFormat="1" ht="12.75" x14ac:dyDescent="0.2">
      <c r="A23" s="23"/>
      <c r="B23" s="199"/>
      <c r="C23" s="199"/>
      <c r="D23" s="199"/>
      <c r="E23" s="199"/>
      <c r="F23" s="199"/>
      <c r="G23" s="199"/>
      <c r="H23" s="199"/>
      <c r="I23" s="199"/>
      <c r="J23" s="199"/>
      <c r="K23" s="23"/>
      <c r="M23" s="65"/>
      <c r="N23" s="65"/>
      <c r="O23" s="65"/>
      <c r="P23" s="65"/>
      <c r="Q23" s="65"/>
      <c r="R23" s="66"/>
      <c r="S23" s="69"/>
      <c r="T23" s="62"/>
      <c r="U23" s="62"/>
      <c r="V23" s="62"/>
      <c r="W23" s="62"/>
      <c r="X23" s="62"/>
      <c r="Y23" s="62"/>
    </row>
    <row r="24" spans="1:25" s="5" customFormat="1" ht="12.75" x14ac:dyDescent="0.2">
      <c r="A24" s="23"/>
      <c r="B24" s="199"/>
      <c r="C24" s="199"/>
      <c r="D24" s="199"/>
      <c r="E24" s="199"/>
      <c r="F24" s="199"/>
      <c r="G24" s="199"/>
      <c r="H24" s="199"/>
      <c r="I24" s="199"/>
      <c r="J24" s="199"/>
      <c r="K24" s="23"/>
      <c r="M24" s="65"/>
      <c r="N24" s="65"/>
      <c r="O24" s="65"/>
      <c r="P24" s="65"/>
      <c r="Q24" s="65"/>
      <c r="R24" s="66"/>
      <c r="S24" s="69"/>
      <c r="T24" s="62"/>
      <c r="U24" s="62"/>
      <c r="V24" s="62"/>
      <c r="W24" s="62"/>
      <c r="X24" s="62"/>
      <c r="Y24" s="62"/>
    </row>
    <row r="25" spans="1:25" s="5" customFormat="1" ht="12.75" customHeight="1" x14ac:dyDescent="0.2">
      <c r="A25" s="23"/>
      <c r="B25" s="118"/>
      <c r="C25" s="118"/>
      <c r="D25" s="118"/>
      <c r="E25" s="118"/>
      <c r="F25" s="143" t="s">
        <v>115</v>
      </c>
      <c r="G25" s="118"/>
      <c r="H25" s="118"/>
      <c r="I25" s="118"/>
      <c r="J25" s="118"/>
      <c r="K25" s="23"/>
      <c r="M25" s="65"/>
      <c r="N25" s="65"/>
      <c r="O25" s="65"/>
      <c r="P25" s="65"/>
      <c r="Q25" s="65"/>
      <c r="R25" s="66"/>
      <c r="S25" s="66"/>
      <c r="T25" s="62"/>
      <c r="U25" s="62"/>
      <c r="V25" s="62"/>
      <c r="W25" s="62"/>
      <c r="X25" s="62"/>
      <c r="Y25" s="62"/>
    </row>
    <row r="26" spans="1:25" s="5" customFormat="1" ht="12.75" x14ac:dyDescent="0.2">
      <c r="A26" s="23"/>
      <c r="B26" s="199" t="s">
        <v>38</v>
      </c>
      <c r="C26" s="199"/>
      <c r="D26" s="199"/>
      <c r="E26" s="199"/>
      <c r="F26" s="199"/>
      <c r="G26" s="199"/>
      <c r="H26" s="199"/>
      <c r="I26" s="199"/>
      <c r="J26" s="199"/>
      <c r="K26" s="23"/>
      <c r="M26" s="65"/>
      <c r="N26" s="65"/>
      <c r="O26" s="65"/>
      <c r="P26" s="65"/>
      <c r="Q26" s="65"/>
      <c r="R26" s="66"/>
      <c r="S26" s="66"/>
      <c r="T26" s="62"/>
      <c r="U26" s="62"/>
      <c r="V26" s="62"/>
      <c r="W26" s="62"/>
      <c r="X26" s="62"/>
      <c r="Y26" s="62"/>
    </row>
    <row r="27" spans="1:25" s="5" customFormat="1" ht="12.75" x14ac:dyDescent="0.2">
      <c r="A27" s="23"/>
      <c r="B27" s="199"/>
      <c r="C27" s="199"/>
      <c r="D27" s="199"/>
      <c r="E27" s="199"/>
      <c r="F27" s="199"/>
      <c r="G27" s="199"/>
      <c r="H27" s="199"/>
      <c r="I27" s="199"/>
      <c r="J27" s="199"/>
      <c r="K27" s="23"/>
      <c r="M27" s="65"/>
      <c r="N27" s="65"/>
      <c r="O27" s="65"/>
      <c r="P27" s="65"/>
      <c r="Q27" s="65"/>
      <c r="R27" s="66"/>
      <c r="S27" s="66"/>
      <c r="T27" s="62"/>
      <c r="U27" s="62"/>
      <c r="V27" s="62"/>
      <c r="W27" s="62"/>
      <c r="X27" s="62"/>
      <c r="Y27" s="62"/>
    </row>
    <row r="28" spans="1:25" s="5" customFormat="1" ht="12.75" x14ac:dyDescent="0.2">
      <c r="A28" s="23"/>
      <c r="B28" s="118"/>
      <c r="C28" s="118"/>
      <c r="D28" s="118"/>
      <c r="E28" s="118"/>
      <c r="F28" s="118"/>
      <c r="G28" s="118"/>
      <c r="H28" s="118"/>
      <c r="I28" s="118"/>
      <c r="J28" s="118"/>
      <c r="K28" s="23"/>
      <c r="M28" s="65"/>
      <c r="N28" s="65"/>
      <c r="O28" s="65"/>
      <c r="P28" s="65"/>
      <c r="Q28" s="65"/>
      <c r="R28" s="66"/>
      <c r="S28" s="66"/>
      <c r="T28" s="62"/>
      <c r="U28" s="62"/>
      <c r="V28" s="62"/>
      <c r="W28" s="62"/>
      <c r="X28" s="62"/>
      <c r="Y28" s="62"/>
    </row>
    <row r="29" spans="1:25" s="5" customFormat="1" ht="12.75" x14ac:dyDescent="0.2">
      <c r="A29" s="23"/>
      <c r="B29" s="199" t="s">
        <v>39</v>
      </c>
      <c r="C29" s="199"/>
      <c r="D29" s="199"/>
      <c r="E29" s="199"/>
      <c r="F29" s="199"/>
      <c r="G29" s="199"/>
      <c r="H29" s="199"/>
      <c r="I29" s="199"/>
      <c r="J29" s="199"/>
      <c r="K29" s="23"/>
      <c r="M29" s="65"/>
      <c r="N29" s="65"/>
      <c r="O29" s="65"/>
      <c r="P29" s="65"/>
      <c r="Q29" s="65"/>
      <c r="R29" s="66"/>
      <c r="S29" s="66"/>
      <c r="T29" s="62"/>
      <c r="U29" s="62"/>
      <c r="V29" s="62"/>
      <c r="W29" s="62"/>
      <c r="X29" s="62"/>
      <c r="Y29" s="62"/>
    </row>
    <row r="30" spans="1:25" s="5" customFormat="1" ht="12.75" x14ac:dyDescent="0.2">
      <c r="A30" s="23"/>
      <c r="B30" s="199"/>
      <c r="C30" s="199"/>
      <c r="D30" s="199"/>
      <c r="E30" s="199"/>
      <c r="F30" s="199"/>
      <c r="G30" s="199"/>
      <c r="H30" s="199"/>
      <c r="I30" s="199"/>
      <c r="J30" s="199"/>
      <c r="K30" s="23"/>
      <c r="M30" s="65"/>
      <c r="N30" s="65"/>
      <c r="O30" s="65"/>
      <c r="P30" s="65"/>
      <c r="Q30" s="65"/>
      <c r="R30" s="66"/>
      <c r="S30" s="66"/>
      <c r="T30" s="62"/>
      <c r="U30" s="62"/>
      <c r="V30" s="62"/>
      <c r="W30" s="62"/>
      <c r="X30" s="62"/>
      <c r="Y30" s="62"/>
    </row>
    <row r="31" spans="1:25" s="5" customFormat="1" ht="12.75" customHeight="1" x14ac:dyDescent="0.2">
      <c r="A31" s="23"/>
      <c r="B31" s="199"/>
      <c r="C31" s="199"/>
      <c r="D31" s="199"/>
      <c r="E31" s="199"/>
      <c r="F31" s="199"/>
      <c r="G31" s="199"/>
      <c r="H31" s="199"/>
      <c r="I31" s="199"/>
      <c r="J31" s="199"/>
      <c r="K31" s="23"/>
      <c r="M31" s="65"/>
      <c r="N31" s="65"/>
      <c r="O31" s="65"/>
      <c r="P31" s="65"/>
      <c r="Q31" s="65"/>
      <c r="R31" s="66"/>
      <c r="S31" s="66"/>
      <c r="T31" s="62"/>
      <c r="U31" s="62"/>
      <c r="V31" s="62"/>
      <c r="W31" s="62"/>
      <c r="X31" s="62"/>
      <c r="Y31" s="62"/>
    </row>
    <row r="32" spans="1:25" s="5" customFormat="1" ht="12.75" x14ac:dyDescent="0.2">
      <c r="A32" s="23"/>
      <c r="B32" s="199"/>
      <c r="C32" s="199"/>
      <c r="D32" s="199"/>
      <c r="E32" s="199"/>
      <c r="F32" s="199"/>
      <c r="G32" s="199"/>
      <c r="H32" s="199"/>
      <c r="I32" s="199"/>
      <c r="J32" s="199"/>
      <c r="K32" s="23"/>
      <c r="M32" s="65"/>
      <c r="N32" s="65"/>
      <c r="O32" s="65"/>
      <c r="P32" s="65"/>
      <c r="Q32" s="65"/>
      <c r="R32" s="66"/>
      <c r="S32" s="66"/>
      <c r="T32" s="62"/>
      <c r="U32" s="62"/>
      <c r="V32" s="62"/>
      <c r="W32" s="62"/>
      <c r="X32" s="62"/>
      <c r="Y32" s="62"/>
    </row>
    <row r="33" spans="1:25" s="5" customFormat="1" ht="12.75" customHeight="1" x14ac:dyDescent="0.2">
      <c r="A33" s="23"/>
      <c r="B33" s="199"/>
      <c r="C33" s="199"/>
      <c r="D33" s="199"/>
      <c r="E33" s="199"/>
      <c r="F33" s="199"/>
      <c r="G33" s="199"/>
      <c r="H33" s="199"/>
      <c r="I33" s="199"/>
      <c r="J33" s="199"/>
      <c r="K33" s="23"/>
      <c r="M33" s="65"/>
      <c r="N33" s="65"/>
      <c r="O33" s="65"/>
      <c r="P33" s="65"/>
      <c r="Q33" s="65"/>
      <c r="R33" s="66"/>
      <c r="S33" s="66"/>
      <c r="T33" s="62"/>
      <c r="U33" s="62"/>
      <c r="V33" s="62"/>
      <c r="W33" s="62"/>
      <c r="X33" s="62"/>
      <c r="Y33" s="62"/>
    </row>
    <row r="34" spans="1:25" s="5" customFormat="1" ht="12.75" x14ac:dyDescent="0.2">
      <c r="A34" s="23"/>
      <c r="B34" s="118"/>
      <c r="C34" s="118"/>
      <c r="D34" s="201" t="s">
        <v>31</v>
      </c>
      <c r="E34" s="201"/>
      <c r="F34" s="201"/>
      <c r="G34" s="201"/>
      <c r="H34" s="201"/>
      <c r="I34" s="118"/>
      <c r="J34" s="118"/>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119"/>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119"/>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99" t="s">
        <v>40</v>
      </c>
      <c r="C38" s="199"/>
      <c r="D38" s="199"/>
      <c r="E38" s="199"/>
      <c r="F38" s="199"/>
      <c r="G38" s="199"/>
      <c r="H38" s="199"/>
      <c r="I38" s="199"/>
      <c r="J38" s="199"/>
      <c r="K38" s="23"/>
      <c r="M38" s="65"/>
      <c r="N38" s="65"/>
      <c r="O38" s="65"/>
      <c r="P38" s="65"/>
      <c r="Q38" s="65"/>
      <c r="R38" s="66"/>
      <c r="S38" s="66"/>
      <c r="T38" s="62"/>
      <c r="U38" s="62"/>
      <c r="V38" s="62"/>
      <c r="W38" s="62"/>
      <c r="X38" s="62"/>
      <c r="Y38" s="62"/>
    </row>
    <row r="39" spans="1:25" s="5" customFormat="1" ht="12.75" x14ac:dyDescent="0.2">
      <c r="A39" s="23"/>
      <c r="B39" s="199"/>
      <c r="C39" s="199"/>
      <c r="D39" s="199"/>
      <c r="E39" s="199"/>
      <c r="F39" s="199"/>
      <c r="G39" s="199"/>
      <c r="H39" s="199"/>
      <c r="I39" s="199"/>
      <c r="J39" s="199"/>
      <c r="K39" s="23"/>
      <c r="M39" s="65"/>
      <c r="N39" s="65"/>
      <c r="O39" s="65"/>
      <c r="P39" s="65"/>
      <c r="Q39" s="65"/>
      <c r="R39" s="66"/>
      <c r="S39" s="66"/>
      <c r="T39" s="62"/>
      <c r="U39" s="62"/>
      <c r="V39" s="62"/>
      <c r="W39" s="62"/>
      <c r="X39" s="62"/>
      <c r="Y39" s="62"/>
    </row>
    <row r="40" spans="1:25" s="5" customFormat="1" ht="12.75" x14ac:dyDescent="0.2">
      <c r="A40" s="23"/>
      <c r="B40" s="118"/>
      <c r="C40" s="118"/>
      <c r="D40" s="118"/>
      <c r="E40" s="118"/>
      <c r="F40" s="118"/>
      <c r="G40" s="118"/>
      <c r="H40" s="118"/>
      <c r="I40" s="118"/>
      <c r="J40" s="118"/>
      <c r="K40" s="23"/>
      <c r="M40" s="65"/>
      <c r="N40" s="65"/>
      <c r="O40" s="65"/>
      <c r="P40" s="65"/>
      <c r="Q40" s="65"/>
      <c r="R40" s="66"/>
      <c r="S40" s="66"/>
      <c r="T40" s="62"/>
      <c r="U40" s="62"/>
      <c r="V40" s="62"/>
      <c r="W40" s="62"/>
      <c r="X40" s="62"/>
      <c r="Y40" s="62"/>
    </row>
    <row r="41" spans="1:25" s="5" customFormat="1" ht="12.75" x14ac:dyDescent="0.2">
      <c r="A41" s="23"/>
      <c r="B41" s="199" t="s">
        <v>41</v>
      </c>
      <c r="C41" s="199"/>
      <c r="D41" s="199"/>
      <c r="E41" s="199"/>
      <c r="F41" s="199"/>
      <c r="G41" s="199"/>
      <c r="H41" s="199"/>
      <c r="I41" s="199"/>
      <c r="J41" s="199"/>
      <c r="K41" s="23"/>
      <c r="M41" s="65"/>
      <c r="N41" s="65"/>
      <c r="O41" s="65"/>
      <c r="P41" s="65"/>
      <c r="Q41" s="65"/>
      <c r="R41" s="66"/>
      <c r="S41" s="66"/>
      <c r="T41" s="62"/>
      <c r="U41" s="62"/>
      <c r="V41" s="62"/>
      <c r="W41" s="62"/>
      <c r="X41" s="62"/>
      <c r="Y41" s="62"/>
    </row>
    <row r="42" spans="1:25" s="5" customFormat="1" ht="12.75" x14ac:dyDescent="0.2">
      <c r="A42" s="23"/>
      <c r="B42" s="199"/>
      <c r="C42" s="199"/>
      <c r="D42" s="199"/>
      <c r="E42" s="199"/>
      <c r="F42" s="199"/>
      <c r="G42" s="199"/>
      <c r="H42" s="199"/>
      <c r="I42" s="199"/>
      <c r="J42" s="199"/>
      <c r="K42" s="23"/>
      <c r="M42" s="65"/>
      <c r="N42" s="65"/>
      <c r="O42" s="65"/>
      <c r="P42" s="65"/>
      <c r="Q42" s="65"/>
      <c r="R42" s="66"/>
      <c r="S42" s="66"/>
      <c r="T42" s="62"/>
      <c r="U42" s="62"/>
      <c r="V42" s="62"/>
      <c r="W42" s="62"/>
      <c r="X42" s="62"/>
      <c r="Y42" s="62"/>
    </row>
    <row r="43" spans="1:25" s="5" customFormat="1" ht="12.75" x14ac:dyDescent="0.2">
      <c r="A43" s="23"/>
      <c r="B43" s="199"/>
      <c r="C43" s="199"/>
      <c r="D43" s="199"/>
      <c r="E43" s="199"/>
      <c r="F43" s="199"/>
      <c r="G43" s="199"/>
      <c r="H43" s="199"/>
      <c r="I43" s="199"/>
      <c r="J43" s="199"/>
      <c r="K43" s="23"/>
      <c r="M43" s="65"/>
      <c r="N43" s="65"/>
      <c r="O43" s="65"/>
      <c r="P43" s="65"/>
      <c r="Q43" s="65"/>
      <c r="R43" s="66"/>
      <c r="S43" s="66"/>
      <c r="T43" s="62"/>
      <c r="U43" s="62"/>
      <c r="V43" s="62"/>
      <c r="W43" s="62"/>
      <c r="X43" s="62"/>
      <c r="Y43" s="62"/>
    </row>
    <row r="44" spans="1:25" s="5" customFormat="1" ht="12.75" x14ac:dyDescent="0.2">
      <c r="A44" s="23"/>
      <c r="B44" s="118"/>
      <c r="C44" s="118"/>
      <c r="D44" s="118"/>
      <c r="E44" s="118"/>
      <c r="F44" s="118"/>
      <c r="G44" s="118"/>
      <c r="H44" s="118"/>
      <c r="I44" s="118"/>
      <c r="J44" s="118"/>
      <c r="K44" s="23"/>
      <c r="M44" s="65"/>
      <c r="N44" s="65"/>
      <c r="O44" s="65"/>
      <c r="P44" s="65"/>
      <c r="Q44" s="65"/>
      <c r="R44" s="66"/>
      <c r="S44" s="66"/>
      <c r="T44" s="62"/>
      <c r="U44" s="62"/>
      <c r="V44" s="62"/>
      <c r="W44" s="62"/>
      <c r="X44" s="62"/>
      <c r="Y44" s="62"/>
    </row>
    <row r="45" spans="1:25" s="5" customFormat="1" ht="12.75" customHeight="1" x14ac:dyDescent="0.2">
      <c r="A45" s="23"/>
      <c r="B45" s="199" t="s">
        <v>35</v>
      </c>
      <c r="C45" s="199"/>
      <c r="D45" s="199"/>
      <c r="E45" s="199"/>
      <c r="F45" s="199"/>
      <c r="G45" s="199"/>
      <c r="H45" s="199"/>
      <c r="I45" s="199"/>
      <c r="J45" s="199"/>
      <c r="K45" s="23"/>
      <c r="M45" s="65"/>
      <c r="N45" s="65"/>
      <c r="O45" s="65"/>
      <c r="P45" s="65"/>
      <c r="Q45" s="65"/>
      <c r="R45" s="66"/>
      <c r="S45" s="66"/>
      <c r="T45" s="62"/>
      <c r="U45" s="62"/>
      <c r="V45" s="62"/>
      <c r="W45" s="62"/>
      <c r="X45" s="62"/>
      <c r="Y45" s="62"/>
    </row>
    <row r="46" spans="1:25" s="5" customFormat="1" ht="12.75" x14ac:dyDescent="0.2">
      <c r="A46" s="23"/>
      <c r="B46" s="199"/>
      <c r="C46" s="199"/>
      <c r="D46" s="199"/>
      <c r="E46" s="199"/>
      <c r="F46" s="199"/>
      <c r="G46" s="199"/>
      <c r="H46" s="199"/>
      <c r="I46" s="199"/>
      <c r="J46" s="199"/>
      <c r="K46" s="23"/>
      <c r="M46" s="65"/>
      <c r="N46" s="65"/>
      <c r="O46" s="65"/>
      <c r="P46" s="65"/>
      <c r="Q46" s="65"/>
      <c r="R46" s="66"/>
      <c r="S46" s="66"/>
      <c r="T46" s="62"/>
      <c r="U46" s="62"/>
      <c r="V46" s="62"/>
      <c r="W46" s="62"/>
      <c r="X46" s="62"/>
      <c r="Y46" s="62"/>
    </row>
    <row r="47" spans="1:25" s="5" customFormat="1" ht="12.75" x14ac:dyDescent="0.2">
      <c r="A47" s="23"/>
      <c r="B47" s="199"/>
      <c r="C47" s="199"/>
      <c r="D47" s="199"/>
      <c r="E47" s="199"/>
      <c r="F47" s="199"/>
      <c r="G47" s="199"/>
      <c r="H47" s="199"/>
      <c r="I47" s="199"/>
      <c r="J47" s="199"/>
      <c r="K47" s="23"/>
      <c r="M47" s="65"/>
      <c r="N47" s="65"/>
      <c r="O47" s="65"/>
      <c r="P47" s="65"/>
      <c r="Q47" s="65"/>
      <c r="R47" s="66"/>
      <c r="S47" s="66"/>
      <c r="T47" s="62"/>
      <c r="U47" s="62"/>
      <c r="V47" s="62"/>
      <c r="W47" s="62"/>
      <c r="X47" s="62"/>
      <c r="Y47" s="62"/>
    </row>
    <row r="48" spans="1:25" s="5" customFormat="1" ht="12.75" customHeight="1" x14ac:dyDescent="0.2">
      <c r="A48" s="23"/>
      <c r="B48" s="199"/>
      <c r="C48" s="199"/>
      <c r="D48" s="199"/>
      <c r="E48" s="199"/>
      <c r="F48" s="199"/>
      <c r="G48" s="199"/>
      <c r="H48" s="199"/>
      <c r="I48" s="199"/>
      <c r="J48" s="199"/>
      <c r="K48" s="23"/>
      <c r="M48" s="65"/>
      <c r="N48" s="65"/>
      <c r="O48" s="65"/>
      <c r="P48" s="65"/>
      <c r="Q48" s="65"/>
      <c r="R48" s="66"/>
      <c r="S48" s="66"/>
      <c r="T48" s="62"/>
      <c r="U48" s="62"/>
      <c r="V48" s="62"/>
      <c r="W48" s="62"/>
      <c r="X48" s="62"/>
      <c r="Y48" s="62"/>
    </row>
    <row r="49" spans="1:25" s="5" customFormat="1" ht="12.75" x14ac:dyDescent="0.2">
      <c r="A49" s="23"/>
      <c r="B49" s="23" t="s">
        <v>42</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143" t="s">
        <v>116</v>
      </c>
      <c r="G50" s="119"/>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200" t="s">
        <v>44</v>
      </c>
      <c r="C54" s="200"/>
      <c r="D54" s="200"/>
      <c r="E54" s="200"/>
      <c r="F54" s="200"/>
      <c r="G54" s="200"/>
      <c r="H54" s="200"/>
      <c r="I54" s="200"/>
      <c r="J54" s="200"/>
      <c r="K54" s="23"/>
      <c r="M54" s="65"/>
      <c r="N54" s="65"/>
      <c r="O54" s="65"/>
      <c r="P54" s="65"/>
      <c r="Q54" s="65"/>
      <c r="R54" s="66"/>
      <c r="S54" s="66"/>
      <c r="T54" s="62"/>
      <c r="U54" s="62"/>
      <c r="V54" s="62"/>
      <c r="W54" s="62"/>
      <c r="X54" s="62"/>
      <c r="Y54" s="62"/>
    </row>
    <row r="55" spans="1:25" s="5" customFormat="1" ht="12.75" x14ac:dyDescent="0.2">
      <c r="A55" s="23"/>
      <c r="B55" s="200"/>
      <c r="C55" s="200"/>
      <c r="D55" s="200"/>
      <c r="E55" s="200"/>
      <c r="F55" s="200"/>
      <c r="G55" s="200"/>
      <c r="H55" s="200"/>
      <c r="I55" s="200"/>
      <c r="J55" s="200"/>
      <c r="K55" s="23"/>
      <c r="M55" s="65"/>
      <c r="N55" s="65"/>
      <c r="O55" s="65"/>
      <c r="P55" s="65"/>
      <c r="Q55" s="65"/>
      <c r="R55" s="66"/>
      <c r="S55" s="66"/>
      <c r="T55" s="62"/>
      <c r="U55" s="62"/>
      <c r="V55" s="62"/>
      <c r="W55" s="62"/>
      <c r="X55" s="62"/>
      <c r="Y55" s="62"/>
    </row>
    <row r="56" spans="1:25" s="5" customFormat="1" ht="12.75" x14ac:dyDescent="0.2">
      <c r="A56" s="23"/>
      <c r="B56" s="200"/>
      <c r="C56" s="200"/>
      <c r="D56" s="200"/>
      <c r="E56" s="200"/>
      <c r="F56" s="200"/>
      <c r="G56" s="200"/>
      <c r="H56" s="200"/>
      <c r="I56" s="200"/>
      <c r="J56" s="200"/>
      <c r="K56" s="23"/>
      <c r="M56" s="65"/>
      <c r="N56" s="65"/>
      <c r="O56"/>
      <c r="P56" s="65"/>
      <c r="Q56" s="65"/>
      <c r="R56" s="66"/>
      <c r="S56" s="66"/>
      <c r="T56" s="62"/>
      <c r="U56" s="62"/>
      <c r="V56" s="62"/>
      <c r="W56" s="62"/>
      <c r="X56" s="62"/>
      <c r="Y56" s="62"/>
    </row>
    <row r="57" spans="1:25" s="5" customFormat="1" ht="12.75" x14ac:dyDescent="0.2">
      <c r="A57" s="23"/>
      <c r="B57" s="23"/>
      <c r="C57" s="23"/>
      <c r="D57" s="23"/>
      <c r="F57" s="119"/>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144"/>
      <c r="P59" s="65"/>
      <c r="Q59" s="65"/>
      <c r="R59" s="66"/>
      <c r="S59" s="66"/>
      <c r="T59" s="62"/>
      <c r="U59" s="62"/>
      <c r="V59" s="62"/>
      <c r="W59" s="62"/>
      <c r="X59" s="62"/>
      <c r="Y59" s="62"/>
    </row>
    <row r="60" spans="1:25" s="5" customFormat="1" ht="12.75" x14ac:dyDescent="0.2">
      <c r="A60" s="23"/>
      <c r="B60" s="23" t="s">
        <v>45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143" t="s">
        <v>117</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765"/>
  <sheetViews>
    <sheetView tabSelected="1" view="pageBreakPreview" zoomScale="115" zoomScaleNormal="100" zoomScaleSheetLayoutView="115" workbookViewId="0">
      <selection activeCell="C5" sqref="C5"/>
    </sheetView>
  </sheetViews>
  <sheetFormatPr defaultColWidth="9.140625" defaultRowHeight="15.75" x14ac:dyDescent="0.25"/>
  <cols>
    <col min="1" max="1" width="9.140625" style="25"/>
    <col min="2" max="2" width="9.28515625" style="25" bestFit="1" customWidth="1"/>
    <col min="3" max="3" width="9.5703125" style="25" bestFit="1" customWidth="1"/>
    <col min="4"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SUM('Flap Load'!M:M)</f>
        <v>17</v>
      </c>
      <c r="H1" s="1"/>
      <c r="I1" s="1"/>
      <c r="J1" s="1"/>
      <c r="K1" s="1"/>
      <c r="M1" s="6" t="s">
        <v>12</v>
      </c>
      <c r="N1" s="6" t="s">
        <v>13</v>
      </c>
      <c r="O1" s="6" t="s">
        <v>14</v>
      </c>
      <c r="P1" s="6" t="s">
        <v>14</v>
      </c>
      <c r="Q1" s="6" t="s">
        <v>14</v>
      </c>
      <c r="R1" s="6" t="s">
        <v>15</v>
      </c>
      <c r="S1" s="32" t="s">
        <v>16</v>
      </c>
      <c r="T1" s="33" t="s">
        <v>17</v>
      </c>
      <c r="W1" s="7" t="s">
        <v>18</v>
      </c>
      <c r="X1" s="8">
        <f>SUM(M:M)</f>
        <v>6</v>
      </c>
    </row>
    <row r="2" spans="1:35" s="5" customFormat="1" ht="12.75" x14ac:dyDescent="0.2">
      <c r="A2" s="1"/>
      <c r="B2" s="2" t="s">
        <v>2</v>
      </c>
      <c r="C2" s="3" t="s">
        <v>10</v>
      </c>
      <c r="D2" s="1"/>
      <c r="E2" s="1"/>
      <c r="F2" s="2" t="s">
        <v>5</v>
      </c>
      <c r="G2" s="3" t="s">
        <v>256</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257</v>
      </c>
      <c r="D3" s="1"/>
      <c r="E3" s="1"/>
      <c r="F3" s="2" t="s">
        <v>4</v>
      </c>
      <c r="G3" s="3" t="s">
        <v>21</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46</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R. Abbott</v>
      </c>
      <c r="H8" s="15"/>
      <c r="I8" s="7" t="s">
        <v>8</v>
      </c>
      <c r="J8" s="16" t="str">
        <f>$G$2</f>
        <v>AA-SM-515-000</v>
      </c>
      <c r="K8" s="17"/>
      <c r="L8" s="18"/>
      <c r="M8" s="9"/>
      <c r="N8" s="9"/>
      <c r="O8" s="9"/>
      <c r="P8" s="9"/>
      <c r="Q8" s="11"/>
      <c r="R8" s="12"/>
      <c r="S8" s="36"/>
      <c r="T8" s="35"/>
    </row>
    <row r="9" spans="1:35" s="5" customFormat="1" ht="12.75" x14ac:dyDescent="0.2">
      <c r="E9" s="7" t="s">
        <v>2</v>
      </c>
      <c r="F9" s="15" t="str">
        <f>$C$2</f>
        <v xml:space="preserve"> </v>
      </c>
      <c r="H9" s="15"/>
      <c r="I9" s="7" t="s">
        <v>9</v>
      </c>
      <c r="J9" s="17" t="str">
        <f>$G$3</f>
        <v>IR</v>
      </c>
      <c r="K9" s="17"/>
      <c r="L9" s="18"/>
      <c r="M9" s="9">
        <v>1</v>
      </c>
      <c r="N9" s="9"/>
      <c r="O9" s="9"/>
      <c r="P9" s="9"/>
      <c r="Q9" s="11"/>
      <c r="R9" s="12"/>
      <c r="S9" s="36"/>
      <c r="T9" s="35"/>
    </row>
    <row r="10" spans="1:35" s="5" customFormat="1" ht="12.75" x14ac:dyDescent="0.2">
      <c r="E10" s="7" t="s">
        <v>3</v>
      </c>
      <c r="F10" s="15" t="str">
        <f>$C$3</f>
        <v>05/03/2017</v>
      </c>
      <c r="H10" s="15"/>
      <c r="I10" s="7" t="s">
        <v>6</v>
      </c>
      <c r="J10" s="8" t="str">
        <f>L10&amp;" of "&amp;$G$1</f>
        <v>1 of 17</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0"/>
      <c r="B12" s="21" t="str">
        <f>$G$4</f>
        <v>SIMPLIFIED PART 23 AIRCRAFT LOADS</v>
      </c>
      <c r="C12" s="71"/>
      <c r="D12" s="71"/>
      <c r="E12" s="72"/>
      <c r="F12" s="71"/>
      <c r="G12" s="71"/>
      <c r="H12" s="71"/>
      <c r="I12" s="71"/>
      <c r="J12" s="71"/>
      <c r="K12" s="71"/>
      <c r="L12" s="30"/>
      <c r="M12" s="37"/>
      <c r="N12" s="38"/>
      <c r="O12" s="38"/>
      <c r="P12" s="38"/>
      <c r="Q12" s="38"/>
      <c r="R12" s="37"/>
      <c r="S12" s="37"/>
      <c r="T12" s="39"/>
    </row>
    <row r="13" spans="1:35" s="26" customFormat="1" ht="12.75" x14ac:dyDescent="0.2">
      <c r="A13" s="73"/>
      <c r="B13" s="73" t="s">
        <v>47</v>
      </c>
      <c r="C13" s="73"/>
      <c r="D13" s="73"/>
      <c r="E13" s="73"/>
      <c r="F13" s="73"/>
      <c r="G13" s="73"/>
      <c r="H13" s="73"/>
      <c r="I13" s="73"/>
      <c r="J13" s="73"/>
      <c r="K13" s="73"/>
      <c r="L13" s="29"/>
      <c r="M13" s="27"/>
      <c r="N13" s="27"/>
      <c r="O13" s="27"/>
      <c r="P13" s="27"/>
      <c r="Q13" s="27"/>
      <c r="R13" s="27"/>
      <c r="S13" s="27"/>
      <c r="T13" s="27"/>
    </row>
    <row r="14" spans="1:35" s="26" customFormat="1" ht="12.75" x14ac:dyDescent="0.2">
      <c r="A14" s="73"/>
      <c r="B14" s="114" t="s">
        <v>48</v>
      </c>
      <c r="C14" s="73"/>
      <c r="D14" s="76"/>
      <c r="E14" s="73"/>
      <c r="F14" s="73"/>
      <c r="G14" s="77"/>
      <c r="H14" s="73"/>
      <c r="I14" s="73"/>
      <c r="J14" s="73"/>
      <c r="K14" s="73"/>
      <c r="M14" s="27"/>
      <c r="N14" s="27"/>
      <c r="O14" s="27"/>
      <c r="P14" s="27"/>
      <c r="Q14" s="27"/>
      <c r="R14" s="27"/>
      <c r="S14" s="27"/>
      <c r="T14" s="27"/>
    </row>
    <row r="15" spans="1:35" s="26" customFormat="1" ht="12.75" x14ac:dyDescent="0.2">
      <c r="A15" s="73"/>
      <c r="C15" s="73"/>
      <c r="D15" s="76"/>
      <c r="E15" s="73"/>
      <c r="F15" s="73"/>
      <c r="G15" s="73"/>
      <c r="H15" s="73"/>
      <c r="I15" s="73"/>
      <c r="J15" s="73"/>
      <c r="K15" s="73"/>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73"/>
      <c r="B16" s="73"/>
      <c r="C16" s="73"/>
      <c r="D16" s="76"/>
      <c r="E16" s="73"/>
      <c r="F16" s="73"/>
      <c r="G16" s="73"/>
      <c r="H16" s="73"/>
      <c r="I16" s="73"/>
      <c r="J16" s="73"/>
      <c r="K16" s="73"/>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A17" s="77"/>
      <c r="B17" s="76" t="s">
        <v>59</v>
      </c>
      <c r="C17" s="102">
        <v>2500</v>
      </c>
      <c r="D17" s="101" t="s">
        <v>61</v>
      </c>
      <c r="E17" s="77"/>
      <c r="F17" s="77"/>
      <c r="G17" s="77"/>
      <c r="K17" s="77"/>
      <c r="L17" s="30"/>
      <c r="M17" s="27"/>
      <c r="N17" s="27"/>
      <c r="O17" s="27"/>
      <c r="P17" s="27"/>
      <c r="Q17" s="27"/>
      <c r="R17" s="27"/>
      <c r="S17" s="27"/>
      <c r="T17" s="27"/>
      <c r="U17" s="30"/>
      <c r="V17" s="40"/>
      <c r="W17" s="40"/>
      <c r="X17" s="30"/>
      <c r="Y17" s="5"/>
      <c r="Z17" s="46"/>
      <c r="AA17" s="107" t="s">
        <v>67</v>
      </c>
      <c r="AB17" s="107" t="s">
        <v>66</v>
      </c>
      <c r="AC17" s="107" t="s">
        <v>65</v>
      </c>
      <c r="AD17" s="5"/>
      <c r="AE17" s="5"/>
      <c r="AF17" s="5"/>
      <c r="AG17" s="5"/>
      <c r="AH17" s="5"/>
      <c r="AI17" s="5"/>
    </row>
    <row r="18" spans="1:35" s="28" customFormat="1" ht="12.75" x14ac:dyDescent="0.2">
      <c r="A18" s="73"/>
      <c r="B18" s="76" t="s">
        <v>60</v>
      </c>
      <c r="C18" s="106">
        <v>197</v>
      </c>
      <c r="D18" s="101" t="s">
        <v>62</v>
      </c>
      <c r="E18" s="73"/>
      <c r="F18" s="73"/>
      <c r="G18" s="73"/>
      <c r="K18" s="73"/>
      <c r="L18" s="30"/>
      <c r="M18" s="27"/>
      <c r="N18" s="27"/>
      <c r="O18" s="27"/>
      <c r="P18" s="27"/>
      <c r="Q18" s="27"/>
      <c r="R18" s="27"/>
      <c r="S18" s="27"/>
      <c r="T18" s="27"/>
      <c r="U18" s="30"/>
      <c r="V18" s="40"/>
      <c r="W18" s="40"/>
      <c r="X18" s="30"/>
      <c r="Y18" s="5"/>
      <c r="Z18" s="46">
        <v>1</v>
      </c>
      <c r="AA18" s="29">
        <v>3.8</v>
      </c>
      <c r="AB18" s="31">
        <v>4.4000000000000004</v>
      </c>
      <c r="AC18" s="47">
        <v>6</v>
      </c>
      <c r="AD18" s="5"/>
      <c r="AE18" s="48"/>
      <c r="AF18" s="47"/>
      <c r="AG18" s="47"/>
      <c r="AH18" s="47"/>
      <c r="AI18" s="5"/>
    </row>
    <row r="19" spans="1:35" s="28" customFormat="1" ht="12.75" x14ac:dyDescent="0.2">
      <c r="A19" s="73"/>
      <c r="B19" s="103" t="s">
        <v>63</v>
      </c>
      <c r="C19" s="104">
        <f>C17/C18</f>
        <v>12.690355329949238</v>
      </c>
      <c r="D19" s="101" t="s">
        <v>83</v>
      </c>
      <c r="E19" s="73"/>
      <c r="F19" s="73"/>
      <c r="G19" s="73"/>
      <c r="K19" s="73"/>
      <c r="L19" s="30"/>
      <c r="M19" s="27"/>
      <c r="N19" s="27"/>
      <c r="O19" s="27"/>
      <c r="P19" s="27"/>
      <c r="Q19" s="27"/>
      <c r="R19" s="27"/>
      <c r="S19" s="27"/>
      <c r="T19" s="27"/>
      <c r="U19" s="30"/>
      <c r="V19" s="40"/>
      <c r="W19" s="40"/>
      <c r="X19" s="30"/>
      <c r="Y19" s="23"/>
      <c r="Z19" s="46">
        <v>2</v>
      </c>
      <c r="AA19" s="29">
        <f>-AA18/2</f>
        <v>-1.9</v>
      </c>
      <c r="AB19" s="29">
        <f>-AB18/2</f>
        <v>-2.2000000000000002</v>
      </c>
      <c r="AC19" s="29">
        <f>-AC18/2</f>
        <v>-3</v>
      </c>
      <c r="AD19" s="47"/>
      <c r="AE19" s="47"/>
      <c r="AF19" s="47"/>
      <c r="AG19" s="47"/>
      <c r="AH19" s="47"/>
      <c r="AI19" s="23"/>
    </row>
    <row r="20" spans="1:35" s="28" customFormat="1" ht="12.75" x14ac:dyDescent="0.2">
      <c r="A20" s="79"/>
      <c r="I20" s="73"/>
      <c r="J20" s="73"/>
      <c r="K20" s="73"/>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B21" s="76" t="s">
        <v>59</v>
      </c>
      <c r="C21" s="102">
        <v>1700</v>
      </c>
      <c r="D21" s="101" t="s">
        <v>84</v>
      </c>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B22" s="76" t="s">
        <v>60</v>
      </c>
      <c r="C22" s="116">
        <f>C18</f>
        <v>197</v>
      </c>
      <c r="D22" s="101" t="s">
        <v>62</v>
      </c>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2.75" x14ac:dyDescent="0.2">
      <c r="B23" s="103" t="s">
        <v>63</v>
      </c>
      <c r="C23" s="104">
        <f>C21/C22</f>
        <v>8.6294416243654819</v>
      </c>
      <c r="D23" s="101" t="s">
        <v>85</v>
      </c>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79"/>
      <c r="B26" s="80" t="s">
        <v>49</v>
      </c>
      <c r="C26" s="77" t="s">
        <v>53</v>
      </c>
      <c r="D26" s="77"/>
      <c r="E26" s="73"/>
      <c r="F26" s="73"/>
      <c r="G26" s="73"/>
      <c r="H26" s="81"/>
      <c r="I26" s="77"/>
      <c r="J26" s="77"/>
      <c r="K26" s="73"/>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A27" s="79"/>
      <c r="B27" s="76" t="s">
        <v>50</v>
      </c>
      <c r="C27" s="78" t="s">
        <v>54</v>
      </c>
      <c r="D27" s="73"/>
      <c r="E27" s="73"/>
      <c r="F27" s="82"/>
      <c r="G27" s="73"/>
      <c r="H27" s="82"/>
      <c r="I27" s="77"/>
      <c r="J27" s="77"/>
      <c r="K27" s="73"/>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4.25" x14ac:dyDescent="0.25">
      <c r="A28" s="73"/>
      <c r="B28" s="76" t="s">
        <v>51</v>
      </c>
      <c r="C28" s="73" t="s">
        <v>56</v>
      </c>
      <c r="D28" s="73"/>
      <c r="E28" s="73"/>
      <c r="F28" s="82"/>
      <c r="G28" s="73"/>
      <c r="H28" s="82"/>
      <c r="I28" s="77"/>
      <c r="J28" s="77"/>
      <c r="K28" s="73"/>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4.25" x14ac:dyDescent="0.25">
      <c r="A29" s="79"/>
      <c r="B29" s="80" t="s">
        <v>52</v>
      </c>
      <c r="C29" s="81" t="s">
        <v>57</v>
      </c>
      <c r="D29" s="73"/>
      <c r="E29" s="73"/>
      <c r="F29" s="84"/>
      <c r="G29" s="73"/>
      <c r="H29" s="84"/>
      <c r="I29" s="77"/>
      <c r="J29" s="77"/>
      <c r="K29" s="73"/>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4.25" x14ac:dyDescent="0.25">
      <c r="A30" s="79"/>
      <c r="B30" s="80" t="s">
        <v>55</v>
      </c>
      <c r="C30" s="79" t="s">
        <v>58</v>
      </c>
      <c r="D30" s="76"/>
      <c r="E30" s="73"/>
      <c r="F30" s="84"/>
      <c r="G30" s="73"/>
      <c r="H30" s="84"/>
      <c r="I30" s="77"/>
      <c r="J30" s="77"/>
      <c r="K30" s="73"/>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79"/>
      <c r="E31" s="73"/>
      <c r="F31" s="84"/>
      <c r="G31" s="73"/>
      <c r="H31" s="84"/>
      <c r="I31" s="77"/>
      <c r="J31" s="77"/>
      <c r="K31" s="79"/>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79"/>
      <c r="B32" s="28" t="s">
        <v>64</v>
      </c>
      <c r="E32" s="73"/>
      <c r="F32" s="84"/>
      <c r="G32" s="73"/>
      <c r="H32" s="84"/>
      <c r="I32" s="77"/>
      <c r="J32" s="77"/>
      <c r="K32" s="79"/>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73"/>
      <c r="C33" s="107" t="s">
        <v>67</v>
      </c>
      <c r="E33" s="73"/>
      <c r="F33" s="73"/>
      <c r="G33" s="73"/>
      <c r="H33" s="73"/>
      <c r="I33" s="73"/>
      <c r="J33" s="73"/>
      <c r="K33" s="73"/>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2.75" x14ac:dyDescent="0.2">
      <c r="A34" s="73"/>
      <c r="E34" s="73"/>
      <c r="F34" s="73"/>
      <c r="G34" s="73"/>
      <c r="H34" s="73"/>
      <c r="I34" s="73"/>
      <c r="J34" s="73"/>
      <c r="K34" s="73"/>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2.75" x14ac:dyDescent="0.2">
      <c r="A35" s="80"/>
      <c r="B35" s="80" t="s">
        <v>49</v>
      </c>
      <c r="C35" s="108">
        <f>INDEX(AA18:AC18,MATCH(C33,AA17:AC17,0))</f>
        <v>3.8</v>
      </c>
      <c r="E35" s="73"/>
      <c r="F35" s="73"/>
      <c r="G35" s="73"/>
      <c r="H35" s="73"/>
      <c r="I35" s="73"/>
      <c r="J35" s="73"/>
      <c r="K35" s="73"/>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2.75" x14ac:dyDescent="0.2">
      <c r="A36" s="76"/>
      <c r="B36" s="76" t="s">
        <v>50</v>
      </c>
      <c r="C36" s="89">
        <f>INDEX(AA19:AC19,MATCH(C33,AA17:AC17,0))</f>
        <v>-1.9</v>
      </c>
      <c r="D36" s="88"/>
      <c r="E36" s="73"/>
      <c r="F36" s="76"/>
      <c r="G36" s="78"/>
      <c r="H36" s="73"/>
      <c r="I36" s="77"/>
      <c r="J36" s="73"/>
      <c r="K36" s="73"/>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A37" s="80"/>
      <c r="B37" s="77"/>
      <c r="C37" s="77"/>
      <c r="D37" s="88"/>
      <c r="E37" s="73"/>
      <c r="F37" s="76"/>
      <c r="G37" s="73"/>
      <c r="H37" s="73"/>
      <c r="I37" s="77"/>
      <c r="J37" s="81"/>
      <c r="K37" s="81"/>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A38" s="80"/>
      <c r="B38" s="28" t="s">
        <v>73</v>
      </c>
      <c r="E38" s="73"/>
      <c r="F38" s="80"/>
      <c r="G38" s="81"/>
      <c r="H38" s="73"/>
      <c r="I38" s="77"/>
      <c r="J38" s="81"/>
      <c r="K38" s="81"/>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73"/>
      <c r="E39" s="80"/>
      <c r="F39" s="77"/>
      <c r="G39" s="77"/>
      <c r="I39" s="73"/>
      <c r="J39" s="73"/>
      <c r="K39" s="73"/>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4.25" x14ac:dyDescent="0.25">
      <c r="A40" s="73"/>
      <c r="B40" s="76" t="s">
        <v>68</v>
      </c>
      <c r="C40" s="28" t="str">
        <f>[1]!xln(C41)</f>
        <v>11 × √[3.8 × 12.7]</v>
      </c>
      <c r="D40" s="73"/>
      <c r="E40" s="76" t="s">
        <v>74</v>
      </c>
      <c r="F40" s="112">
        <v>90</v>
      </c>
      <c r="G40" s="110" t="s">
        <v>72</v>
      </c>
      <c r="I40" s="73"/>
      <c r="J40" s="73"/>
      <c r="K40" s="73"/>
      <c r="L40" s="30"/>
      <c r="M40" s="27"/>
      <c r="N40" s="27"/>
      <c r="O40" s="27"/>
      <c r="P40" s="27"/>
      <c r="Q40" s="27"/>
      <c r="R40" s="27"/>
      <c r="S40" s="27"/>
      <c r="T40" s="27"/>
      <c r="U40" s="30"/>
      <c r="V40" s="40"/>
      <c r="W40" s="40"/>
      <c r="X40" s="30"/>
      <c r="Y40" s="5"/>
      <c r="Z40" s="5"/>
      <c r="AA40" s="5"/>
      <c r="AB40" s="5"/>
      <c r="AC40" s="5"/>
      <c r="AD40" s="5"/>
      <c r="AE40" s="5"/>
      <c r="AF40" s="5"/>
      <c r="AG40" s="5"/>
      <c r="AH40" s="5"/>
      <c r="AI40" s="5"/>
    </row>
    <row r="41" spans="1:35" s="28" customFormat="1" ht="12.75" x14ac:dyDescent="0.2">
      <c r="A41" s="73"/>
      <c r="B41" s="80" t="s">
        <v>82</v>
      </c>
      <c r="C41" s="95">
        <f>11*SQRT(C35*C19)</f>
        <v>76.38733782971272</v>
      </c>
      <c r="D41" s="110" t="s">
        <v>72</v>
      </c>
      <c r="E41" s="80"/>
      <c r="F41" s="104"/>
      <c r="G41" s="73"/>
      <c r="I41" s="73"/>
      <c r="J41" s="73"/>
      <c r="K41" s="73"/>
      <c r="L41" s="30"/>
      <c r="M41" s="27"/>
      <c r="N41" s="27"/>
      <c r="O41" s="27"/>
      <c r="P41" s="27"/>
      <c r="Q41" s="27"/>
      <c r="R41" s="27"/>
      <c r="S41" s="27"/>
      <c r="T41" s="27"/>
      <c r="U41" s="30"/>
      <c r="V41" s="40"/>
      <c r="W41" s="40"/>
      <c r="X41" s="30"/>
      <c r="Y41" s="18"/>
      <c r="Z41" s="5"/>
      <c r="AA41" s="40"/>
      <c r="AB41" s="5"/>
      <c r="AC41" s="5"/>
      <c r="AD41" s="5"/>
      <c r="AE41" s="5"/>
      <c r="AF41" s="5"/>
      <c r="AG41" s="5"/>
      <c r="AH41" s="5"/>
      <c r="AI41" s="51"/>
    </row>
    <row r="42" spans="1:35" s="28" customFormat="1" ht="12.75" x14ac:dyDescent="0.2">
      <c r="A42" s="73"/>
      <c r="F42" s="104"/>
      <c r="G42" s="73"/>
      <c r="I42" s="73"/>
      <c r="J42" s="73"/>
      <c r="K42" s="73"/>
      <c r="L42" s="30"/>
      <c r="M42" s="27"/>
      <c r="N42" s="27"/>
      <c r="O42" s="27"/>
      <c r="P42" s="27"/>
      <c r="Q42" s="27"/>
      <c r="R42" s="27"/>
      <c r="S42" s="27"/>
      <c r="T42" s="27"/>
      <c r="U42" s="30"/>
      <c r="V42" s="40"/>
      <c r="W42" s="40"/>
      <c r="X42" s="30"/>
      <c r="Y42" s="18"/>
      <c r="Z42" s="5"/>
      <c r="AA42" s="40"/>
      <c r="AB42" s="5"/>
      <c r="AC42" s="5"/>
      <c r="AD42" s="5"/>
      <c r="AE42" s="5"/>
      <c r="AF42" s="5"/>
      <c r="AG42" s="5"/>
      <c r="AH42" s="5"/>
      <c r="AI42" s="51"/>
    </row>
    <row r="43" spans="1:35" s="28" customFormat="1" ht="14.25" x14ac:dyDescent="0.25">
      <c r="A43" s="80"/>
      <c r="B43" s="76" t="s">
        <v>69</v>
      </c>
      <c r="C43" s="28" t="str">
        <f>[1]!xln(C44)</f>
        <v>15 × √[3.8 × 12.7]</v>
      </c>
      <c r="D43" s="73"/>
      <c r="E43" s="76" t="s">
        <v>75</v>
      </c>
      <c r="F43" s="105">
        <v>120</v>
      </c>
      <c r="G43" s="110" t="s">
        <v>72</v>
      </c>
      <c r="I43" s="73"/>
      <c r="J43" s="87"/>
      <c r="K43" s="73"/>
      <c r="L43" s="30"/>
      <c r="M43" s="27"/>
      <c r="N43" s="27"/>
      <c r="O43" s="27"/>
      <c r="P43" s="27"/>
      <c r="Q43" s="27"/>
      <c r="R43" s="27"/>
      <c r="S43" s="27"/>
      <c r="T43" s="27"/>
      <c r="U43" s="30"/>
      <c r="V43" s="40"/>
      <c r="W43" s="40"/>
      <c r="X43" s="30"/>
      <c r="Y43" s="18"/>
      <c r="Z43" s="18"/>
      <c r="AA43" s="40"/>
      <c r="AB43" s="5"/>
      <c r="AC43" s="5"/>
      <c r="AD43" s="5"/>
      <c r="AE43" s="5"/>
      <c r="AF43" s="5"/>
      <c r="AG43" s="5"/>
      <c r="AH43" s="5"/>
      <c r="AI43" s="51"/>
    </row>
    <row r="44" spans="1:35" s="28" customFormat="1" ht="12.75" x14ac:dyDescent="0.2">
      <c r="A44" s="73"/>
      <c r="B44" s="80" t="s">
        <v>82</v>
      </c>
      <c r="C44" s="95">
        <f>15*SQRT(C35*C19)</f>
        <v>104.16455158597188</v>
      </c>
      <c r="D44" s="110" t="s">
        <v>72</v>
      </c>
      <c r="E44" s="109"/>
      <c r="F44" s="104"/>
      <c r="G44" s="73"/>
      <c r="I44" s="73"/>
      <c r="J44" s="73"/>
      <c r="K44" s="73"/>
      <c r="L44" s="30"/>
      <c r="M44" s="27"/>
      <c r="N44" s="27"/>
      <c r="O44" s="27"/>
      <c r="P44" s="27"/>
      <c r="Q44" s="27"/>
      <c r="R44" s="27"/>
      <c r="S44" s="27"/>
      <c r="T44" s="27"/>
      <c r="U44" s="30"/>
      <c r="V44" s="40"/>
      <c r="W44" s="40"/>
      <c r="X44" s="30"/>
      <c r="Y44" s="18"/>
      <c r="Z44" s="5"/>
      <c r="AA44" s="40"/>
      <c r="AB44" s="5"/>
      <c r="AC44" s="5"/>
      <c r="AD44" s="5"/>
      <c r="AE44" s="5"/>
      <c r="AF44" s="5"/>
      <c r="AG44" s="5"/>
      <c r="AH44" s="5"/>
      <c r="AI44" s="51"/>
    </row>
    <row r="45" spans="1:35" s="28" customFormat="1" ht="12.75" x14ac:dyDescent="0.2">
      <c r="A45" s="73"/>
      <c r="F45" s="104"/>
      <c r="G45" s="73"/>
      <c r="I45" s="73"/>
      <c r="J45" s="83"/>
      <c r="K45" s="73"/>
      <c r="L45" s="30"/>
      <c r="M45" s="27"/>
      <c r="N45" s="27"/>
      <c r="O45" s="27"/>
      <c r="P45" s="27"/>
      <c r="Q45" s="27"/>
      <c r="R45" s="27"/>
      <c r="S45" s="27"/>
      <c r="T45" s="27"/>
      <c r="U45" s="30"/>
      <c r="V45" s="40"/>
      <c r="W45" s="40"/>
      <c r="X45" s="30"/>
      <c r="Y45" s="18"/>
      <c r="Z45" s="5"/>
      <c r="AA45" s="40"/>
      <c r="AB45" s="5"/>
      <c r="AC45" s="5"/>
      <c r="AD45" s="5"/>
      <c r="AE45" s="5"/>
      <c r="AF45" s="5"/>
      <c r="AG45" s="5"/>
      <c r="AH45" s="5"/>
      <c r="AI45" s="5"/>
    </row>
    <row r="46" spans="1:35" s="28" customFormat="1" ht="14.25" x14ac:dyDescent="0.25">
      <c r="A46" s="80"/>
      <c r="B46" s="76" t="s">
        <v>70</v>
      </c>
      <c r="C46" s="28" t="str">
        <f>[1]!xln(C47)</f>
        <v>17 × √[3.8 × 12.7]</v>
      </c>
      <c r="D46" s="73"/>
      <c r="E46" s="76" t="s">
        <v>76</v>
      </c>
      <c r="F46" s="105">
        <v>160</v>
      </c>
      <c r="G46" s="110" t="s">
        <v>72</v>
      </c>
      <c r="I46" s="76" t="s">
        <v>78</v>
      </c>
      <c r="J46" s="113">
        <f>F46/C47</f>
        <v>1.3553216371475063</v>
      </c>
      <c r="K46" s="73"/>
      <c r="L46" s="30"/>
      <c r="M46" s="27"/>
      <c r="N46" s="27"/>
      <c r="O46" s="27"/>
      <c r="P46" s="27"/>
      <c r="Q46" s="27"/>
      <c r="R46" s="27"/>
      <c r="S46" s="27"/>
      <c r="T46" s="27"/>
      <c r="U46" s="30"/>
      <c r="V46" s="40"/>
      <c r="W46" s="40"/>
      <c r="X46" s="30"/>
      <c r="Y46" s="5"/>
      <c r="Z46" s="5"/>
      <c r="AA46" s="5"/>
      <c r="AB46" s="5"/>
      <c r="AC46" s="5"/>
      <c r="AD46" s="5"/>
      <c r="AE46" s="5"/>
      <c r="AF46" s="5"/>
      <c r="AG46" s="5"/>
      <c r="AH46" s="51"/>
      <c r="AI46" s="5"/>
    </row>
    <row r="47" spans="1:35" s="28" customFormat="1" ht="12.75" x14ac:dyDescent="0.2">
      <c r="A47" s="73"/>
      <c r="B47" s="80" t="s">
        <v>82</v>
      </c>
      <c r="C47" s="95">
        <f>17*SQRT(C35*C19)</f>
        <v>118.05315846410147</v>
      </c>
      <c r="D47" s="110" t="s">
        <v>72</v>
      </c>
      <c r="E47" s="76"/>
      <c r="F47" s="111"/>
      <c r="G47" s="77"/>
      <c r="I47" s="73"/>
      <c r="J47" s="73"/>
      <c r="K47" s="73"/>
      <c r="L47" s="30"/>
      <c r="M47" s="27"/>
      <c r="N47" s="27"/>
      <c r="O47" s="27"/>
      <c r="P47" s="27"/>
      <c r="Q47" s="27"/>
      <c r="R47" s="27"/>
      <c r="S47" s="27"/>
      <c r="T47" s="27"/>
      <c r="U47" s="30"/>
      <c r="V47" s="40"/>
      <c r="W47" s="40"/>
      <c r="X47" s="30"/>
      <c r="Y47" s="18"/>
      <c r="Z47" s="5"/>
      <c r="AA47" s="55"/>
      <c r="AB47" s="5"/>
      <c r="AC47" s="5"/>
      <c r="AD47" s="5"/>
      <c r="AE47" s="5"/>
      <c r="AF47" s="5"/>
      <c r="AG47" s="5"/>
      <c r="AH47" s="5"/>
      <c r="AI47" s="5"/>
    </row>
    <row r="48" spans="1:35" s="28" customFormat="1" ht="12.75" x14ac:dyDescent="0.2">
      <c r="A48" s="73"/>
      <c r="F48" s="104"/>
      <c r="G48" s="73"/>
      <c r="I48" s="73"/>
      <c r="J48" s="73"/>
      <c r="K48" s="73"/>
      <c r="L48" s="30"/>
      <c r="M48" s="27"/>
      <c r="N48" s="27"/>
      <c r="O48" s="27"/>
      <c r="P48" s="27"/>
      <c r="Q48" s="27"/>
      <c r="R48" s="27"/>
      <c r="S48" s="27"/>
      <c r="T48" s="27"/>
      <c r="U48" s="30"/>
      <c r="V48" s="40"/>
      <c r="W48" s="40"/>
      <c r="X48" s="30"/>
      <c r="Y48" s="52"/>
      <c r="Z48" s="5"/>
      <c r="AA48" s="41"/>
      <c r="AB48" s="5"/>
      <c r="AC48" s="5"/>
      <c r="AD48" s="5"/>
      <c r="AE48" s="5"/>
      <c r="AF48" s="5"/>
      <c r="AG48" s="5"/>
      <c r="AH48" s="5"/>
      <c r="AI48" s="5"/>
    </row>
    <row r="49" spans="1:35" s="28" customFormat="1" ht="14.25" x14ac:dyDescent="0.25">
      <c r="A49" s="80"/>
      <c r="B49" s="92" t="s">
        <v>71</v>
      </c>
      <c r="C49" s="28" t="str">
        <f>[1]!xln(C50)</f>
        <v>24 × √[3.8 × 12.7]</v>
      </c>
      <c r="D49" s="88"/>
      <c r="E49" s="92" t="s">
        <v>77</v>
      </c>
      <c r="F49" s="105">
        <v>190</v>
      </c>
      <c r="G49" s="110" t="s">
        <v>72</v>
      </c>
      <c r="I49" s="73"/>
      <c r="J49" s="73"/>
      <c r="K49" s="73"/>
      <c r="L49" s="30"/>
      <c r="M49" s="27"/>
      <c r="N49" s="27"/>
      <c r="O49" s="27"/>
      <c r="P49" s="27"/>
      <c r="Q49" s="27"/>
      <c r="R49" s="27"/>
      <c r="S49" s="27"/>
      <c r="T49" s="27"/>
      <c r="U49" s="30"/>
      <c r="V49" s="40"/>
      <c r="W49" s="40"/>
      <c r="X49" s="30"/>
      <c r="Y49" s="52"/>
      <c r="Z49" s="18"/>
      <c r="AA49" s="41"/>
      <c r="AB49" s="5"/>
      <c r="AC49" s="5"/>
      <c r="AD49" s="5"/>
      <c r="AE49" s="5"/>
      <c r="AF49" s="5"/>
      <c r="AG49" s="5"/>
      <c r="AH49" s="5"/>
      <c r="AI49" s="5"/>
    </row>
    <row r="50" spans="1:35" s="28" customFormat="1" ht="12.75" x14ac:dyDescent="0.2">
      <c r="A50" s="73"/>
      <c r="B50" s="80" t="s">
        <v>82</v>
      </c>
      <c r="C50" s="95">
        <f>24*SQRT(C35*C19)</f>
        <v>166.66328253755501</v>
      </c>
      <c r="D50" s="110" t="s">
        <v>72</v>
      </c>
      <c r="E50" s="76"/>
      <c r="F50" s="96"/>
      <c r="G50" s="77"/>
      <c r="I50" s="97"/>
      <c r="J50" s="73"/>
      <c r="K50" s="73"/>
      <c r="L50" s="30"/>
      <c r="M50" s="27"/>
      <c r="N50" s="27"/>
      <c r="O50" s="27"/>
      <c r="P50" s="27"/>
      <c r="Q50" s="27"/>
      <c r="R50" s="27"/>
      <c r="S50" s="27"/>
      <c r="T50" s="27"/>
      <c r="U50" s="30"/>
      <c r="V50" s="40"/>
      <c r="W50" s="40"/>
      <c r="X50" s="30"/>
      <c r="Y50" s="18"/>
      <c r="Z50" s="51"/>
      <c r="AA50" s="55"/>
      <c r="AB50" s="51"/>
      <c r="AC50" s="5"/>
      <c r="AD50" s="5"/>
      <c r="AE50" s="5"/>
      <c r="AF50" s="5"/>
      <c r="AG50" s="5"/>
      <c r="AH50" s="5"/>
      <c r="AI50" s="5"/>
    </row>
    <row r="51" spans="1:35" s="28" customFormat="1" ht="12.75" x14ac:dyDescent="0.2">
      <c r="A51" s="73"/>
      <c r="B51" s="91"/>
      <c r="C51" s="95"/>
      <c r="D51" s="73"/>
      <c r="E51" s="73"/>
      <c r="F51" s="73"/>
      <c r="G51" s="73"/>
      <c r="H51" s="73"/>
      <c r="I51" s="73"/>
      <c r="J51" s="73"/>
      <c r="K51" s="73"/>
      <c r="L51" s="30"/>
      <c r="M51" s="27"/>
      <c r="N51" s="27"/>
      <c r="O51" s="27"/>
      <c r="P51" s="27"/>
      <c r="Q51" s="27"/>
      <c r="R51" s="27"/>
      <c r="S51" s="27"/>
      <c r="T51" s="27"/>
      <c r="U51" s="30"/>
      <c r="V51" s="40"/>
      <c r="W51" s="40"/>
      <c r="X51" s="30"/>
      <c r="Y51" s="18"/>
      <c r="Z51" s="5"/>
      <c r="AA51" s="41"/>
      <c r="AB51" s="5"/>
      <c r="AC51" s="5"/>
      <c r="AD51" s="5"/>
      <c r="AE51" s="5"/>
      <c r="AF51" s="5"/>
      <c r="AG51" s="5"/>
      <c r="AH51" s="5"/>
      <c r="AI51" s="5"/>
    </row>
    <row r="52" spans="1:35" s="28" customFormat="1" ht="12.75" x14ac:dyDescent="0.2">
      <c r="A52" s="5"/>
      <c r="B52" s="5"/>
      <c r="C52" s="46"/>
      <c r="D52" s="46"/>
      <c r="E52" s="46"/>
      <c r="F52" s="46"/>
      <c r="G52" s="5"/>
      <c r="H52" s="46"/>
      <c r="I52" s="46"/>
      <c r="J52" s="5"/>
      <c r="K52" s="5"/>
      <c r="L52" s="30"/>
      <c r="M52" s="27"/>
      <c r="N52" s="27"/>
      <c r="O52" s="27"/>
      <c r="P52" s="27"/>
      <c r="Q52" s="27"/>
      <c r="R52" s="27"/>
      <c r="S52" s="27"/>
      <c r="T52" s="27"/>
      <c r="U52" s="30"/>
      <c r="V52" s="40"/>
      <c r="W52" s="40"/>
      <c r="X52" s="30"/>
      <c r="Y52" s="5"/>
      <c r="Z52" s="5"/>
      <c r="AA52" s="5"/>
      <c r="AB52" s="5"/>
      <c r="AC52" s="5"/>
      <c r="AD52" s="5"/>
      <c r="AE52" s="5"/>
      <c r="AF52" s="5"/>
      <c r="AG52" s="5"/>
      <c r="AH52" s="5"/>
      <c r="AI52" s="5"/>
    </row>
    <row r="53" spans="1:35" s="28" customFormat="1" ht="12.75" x14ac:dyDescent="0.2">
      <c r="A53" s="5"/>
      <c r="B53" s="46"/>
      <c r="C53" s="53"/>
      <c r="D53" s="43"/>
      <c r="E53" s="49"/>
      <c r="F53" s="40"/>
      <c r="G53" s="5"/>
      <c r="H53" s="49"/>
      <c r="I53" s="40"/>
      <c r="J53" s="47"/>
      <c r="K53" s="47"/>
      <c r="L53" s="30"/>
      <c r="M53" s="27"/>
      <c r="N53" s="27"/>
      <c r="O53" s="27"/>
      <c r="P53" s="27"/>
      <c r="Q53" s="27"/>
      <c r="R53" s="27"/>
      <c r="S53" s="27"/>
      <c r="T53" s="27"/>
      <c r="U53" s="30"/>
      <c r="V53" s="40"/>
      <c r="W53" s="40"/>
      <c r="X53" s="30"/>
    </row>
    <row r="54" spans="1:35" s="28" customFormat="1" ht="12.75" x14ac:dyDescent="0.2">
      <c r="A54" s="5"/>
      <c r="B54" s="46"/>
      <c r="C54" s="53"/>
      <c r="D54" s="43"/>
      <c r="E54" s="49"/>
      <c r="F54" s="40"/>
      <c r="G54" s="5"/>
      <c r="H54" s="49"/>
      <c r="I54" s="40"/>
      <c r="J54" s="47"/>
      <c r="K54" s="47"/>
      <c r="L54" s="30"/>
      <c r="M54" s="27"/>
      <c r="N54" s="27"/>
      <c r="O54" s="27"/>
      <c r="P54" s="27"/>
      <c r="Q54" s="27"/>
      <c r="R54" s="27"/>
      <c r="S54" s="27"/>
      <c r="T54" s="27"/>
      <c r="U54" s="30"/>
      <c r="V54" s="40"/>
      <c r="W54" s="40"/>
      <c r="X54" s="30"/>
    </row>
    <row r="55" spans="1:35" s="28" customFormat="1" ht="12.75" x14ac:dyDescent="0.2">
      <c r="A55" s="5"/>
      <c r="B55" s="46"/>
      <c r="C55" s="53"/>
      <c r="D55" s="43"/>
      <c r="E55" s="49"/>
      <c r="F55" s="40"/>
      <c r="G55" s="5"/>
      <c r="H55" s="49"/>
      <c r="I55" s="40"/>
      <c r="J55" s="47"/>
      <c r="K55" s="47"/>
      <c r="L55" s="30"/>
      <c r="M55" s="27"/>
      <c r="N55" s="27"/>
      <c r="O55" s="27"/>
      <c r="P55" s="27"/>
      <c r="Q55" s="27"/>
      <c r="R55" s="27"/>
      <c r="S55" s="27"/>
      <c r="T55" s="27"/>
      <c r="U55" s="30"/>
      <c r="V55" s="56"/>
      <c r="W55" s="40"/>
      <c r="X55" s="30"/>
    </row>
    <row r="56" spans="1:35" s="28" customFormat="1" ht="12.75" x14ac:dyDescent="0.2">
      <c r="A56" s="5"/>
      <c r="B56" s="46"/>
      <c r="C56" s="53"/>
      <c r="D56" s="43"/>
      <c r="E56" s="49"/>
      <c r="F56" s="40"/>
      <c r="G56" s="5"/>
      <c r="H56" s="49"/>
      <c r="I56" s="40"/>
      <c r="J56" s="47"/>
      <c r="K56" s="47"/>
      <c r="L56" s="30"/>
      <c r="M56" s="27"/>
      <c r="N56" s="27"/>
      <c r="O56" s="27"/>
      <c r="P56" s="27"/>
      <c r="Q56" s="27"/>
      <c r="R56" s="27"/>
      <c r="S56" s="27"/>
      <c r="T56" s="27"/>
      <c r="U56" s="30"/>
      <c r="V56" s="5"/>
      <c r="W56" s="5"/>
      <c r="X56" s="30"/>
    </row>
    <row r="57" spans="1:35" s="28" customFormat="1" ht="12.75" x14ac:dyDescent="0.2">
      <c r="A57" s="58"/>
      <c r="B57" s="59"/>
      <c r="C57" s="60"/>
      <c r="D57" s="58"/>
      <c r="E57" s="58"/>
      <c r="F57" s="58"/>
      <c r="G57" s="60"/>
      <c r="H57" s="58"/>
      <c r="I57" s="58"/>
      <c r="J57" s="58"/>
      <c r="K57" s="58"/>
      <c r="L57" s="30"/>
      <c r="M57" s="27"/>
      <c r="N57" s="27"/>
      <c r="O57" s="27"/>
      <c r="P57" s="27"/>
      <c r="Q57" s="27"/>
      <c r="R57" s="27"/>
      <c r="S57" s="27"/>
      <c r="T57" s="27"/>
      <c r="U57" s="30"/>
      <c r="V57" s="30"/>
      <c r="W57" s="30"/>
      <c r="X57" s="30"/>
    </row>
    <row r="58" spans="1:35" s="28" customFormat="1" ht="12.75" x14ac:dyDescent="0.2">
      <c r="A58" s="145" t="s">
        <v>118</v>
      </c>
      <c r="B58" s="146"/>
      <c r="C58" s="146"/>
      <c r="D58" s="146"/>
      <c r="E58" s="146"/>
      <c r="F58" s="146"/>
      <c r="G58" s="147"/>
      <c r="H58" s="147"/>
      <c r="I58" s="147"/>
      <c r="J58" s="147"/>
      <c r="K58" s="148"/>
      <c r="L58" s="30"/>
      <c r="M58" s="27"/>
      <c r="N58" s="27"/>
      <c r="O58" s="27"/>
      <c r="P58" s="27"/>
      <c r="Q58" s="27"/>
      <c r="R58" s="27"/>
      <c r="S58" s="27"/>
      <c r="T58" s="27"/>
      <c r="U58" s="30"/>
      <c r="V58" s="30"/>
      <c r="W58" s="30"/>
      <c r="X58" s="30"/>
    </row>
    <row r="59" spans="1:35" s="28" customFormat="1" ht="12.75" x14ac:dyDescent="0.2">
      <c r="A59" s="149"/>
      <c r="B59" s="149"/>
      <c r="C59" s="149"/>
      <c r="D59" s="150"/>
      <c r="E59" s="150"/>
      <c r="F59" s="151" t="s">
        <v>119</v>
      </c>
      <c r="G59" s="152" t="s">
        <v>120</v>
      </c>
      <c r="H59" s="153"/>
      <c r="I59" s="154"/>
      <c r="J59" s="154"/>
      <c r="K59" s="155"/>
      <c r="L59" s="30"/>
      <c r="M59" s="27"/>
      <c r="N59" s="27"/>
      <c r="O59" s="27"/>
      <c r="P59" s="27"/>
      <c r="Q59" s="27"/>
      <c r="R59" s="27"/>
      <c r="S59" s="27"/>
      <c r="T59" s="27"/>
      <c r="U59" s="30"/>
      <c r="V59" s="30"/>
      <c r="W59" s="30"/>
      <c r="X59" s="30"/>
    </row>
    <row r="60" spans="1:35" s="5" customFormat="1" ht="12.75" x14ac:dyDescent="0.2">
      <c r="A60" s="14"/>
      <c r="E60" s="7" t="s">
        <v>1</v>
      </c>
      <c r="F60" s="8" t="str">
        <f>$C$1</f>
        <v>R. Abbott</v>
      </c>
      <c r="H60" s="15"/>
      <c r="I60" s="7" t="s">
        <v>8</v>
      </c>
      <c r="J60" s="16" t="str">
        <f>$G$2</f>
        <v>AA-SM-515-000</v>
      </c>
      <c r="K60" s="17"/>
      <c r="L60" s="18"/>
      <c r="M60" s="9"/>
      <c r="N60" s="9"/>
      <c r="O60" s="9"/>
      <c r="P60" s="9"/>
      <c r="Q60" s="11"/>
      <c r="R60" s="12"/>
      <c r="S60" s="36"/>
      <c r="T60" s="35"/>
    </row>
    <row r="61" spans="1:35" s="5" customFormat="1" ht="12.75" x14ac:dyDescent="0.2">
      <c r="E61" s="7" t="s">
        <v>2</v>
      </c>
      <c r="F61" s="15" t="str">
        <f>$C$2</f>
        <v xml:space="preserve"> </v>
      </c>
      <c r="H61" s="15"/>
      <c r="I61" s="7" t="s">
        <v>9</v>
      </c>
      <c r="J61" s="17" t="str">
        <f>$G$3</f>
        <v>IR</v>
      </c>
      <c r="K61" s="17"/>
      <c r="L61" s="18"/>
      <c r="M61" s="9">
        <v>1</v>
      </c>
      <c r="N61" s="9"/>
      <c r="O61" s="9"/>
      <c r="P61" s="9"/>
      <c r="Q61" s="11"/>
      <c r="R61" s="12"/>
      <c r="S61" s="36"/>
      <c r="T61" s="35"/>
    </row>
    <row r="62" spans="1:35" s="5" customFormat="1" ht="12.75" x14ac:dyDescent="0.2">
      <c r="E62" s="7" t="s">
        <v>3</v>
      </c>
      <c r="F62" s="15" t="str">
        <f>$C$3</f>
        <v>05/03/2017</v>
      </c>
      <c r="H62" s="15"/>
      <c r="I62" s="7" t="s">
        <v>6</v>
      </c>
      <c r="J62" s="8" t="str">
        <f>L62&amp;" of "&amp;$G$1</f>
        <v>2 of 17</v>
      </c>
      <c r="K62" s="15"/>
      <c r="L62" s="18">
        <f>SUM($M$1:M61)</f>
        <v>2</v>
      </c>
      <c r="M62" s="9"/>
      <c r="N62" s="9"/>
      <c r="O62" s="9"/>
      <c r="P62" s="9"/>
      <c r="Q62" s="11"/>
      <c r="R62" s="12"/>
      <c r="S62" s="36"/>
      <c r="T62" s="35"/>
    </row>
    <row r="63" spans="1:35" s="5" customFormat="1" ht="12.75" x14ac:dyDescent="0.2">
      <c r="A63" s="26"/>
      <c r="B63" s="26"/>
      <c r="C63" s="26"/>
      <c r="D63" s="26"/>
      <c r="E63" s="7" t="s">
        <v>29</v>
      </c>
      <c r="F63" s="15" t="str">
        <f>$C$5</f>
        <v>STANDARD SPREADSHEET METHOD</v>
      </c>
      <c r="I63" s="19"/>
      <c r="J63" s="8"/>
      <c r="M63" s="9"/>
      <c r="N63" s="9"/>
      <c r="O63" s="9"/>
      <c r="P63" s="9"/>
      <c r="Q63" s="9"/>
      <c r="R63" s="9"/>
      <c r="S63" s="34"/>
      <c r="T63" s="35"/>
    </row>
    <row r="64" spans="1:35" s="28" customFormat="1" x14ac:dyDescent="0.25">
      <c r="A64" s="70"/>
      <c r="B64" s="21" t="str">
        <f>$G$4</f>
        <v>SIMPLIFIED PART 23 AIRCRAFT LOADS</v>
      </c>
      <c r="C64" s="71"/>
      <c r="D64" s="71"/>
      <c r="E64" s="72"/>
      <c r="F64" s="71"/>
      <c r="G64" s="71"/>
      <c r="H64" s="71"/>
      <c r="I64" s="71"/>
      <c r="J64" s="71"/>
      <c r="K64" s="71"/>
      <c r="L64" s="30"/>
      <c r="M64" s="37"/>
      <c r="N64" s="38"/>
      <c r="O64" s="38"/>
      <c r="P64" s="38"/>
      <c r="Q64" s="38"/>
      <c r="R64" s="37"/>
      <c r="S64" s="37"/>
      <c r="T64" s="39"/>
    </row>
    <row r="65" spans="1:35" s="26" customFormat="1" ht="12.75" x14ac:dyDescent="0.2">
      <c r="A65" s="73"/>
      <c r="B65" s="73" t="s">
        <v>47</v>
      </c>
      <c r="C65" s="73"/>
      <c r="D65" s="73"/>
      <c r="E65" s="73"/>
      <c r="F65" s="73"/>
      <c r="G65" s="73"/>
      <c r="H65" s="73"/>
      <c r="I65" s="73"/>
      <c r="J65" s="73"/>
      <c r="K65" s="73"/>
      <c r="L65" s="29"/>
      <c r="M65" s="27"/>
      <c r="N65" s="27"/>
      <c r="O65" s="27"/>
      <c r="P65" s="27"/>
      <c r="Q65" s="27"/>
      <c r="R65" s="27"/>
      <c r="S65" s="27"/>
      <c r="T65" s="27"/>
    </row>
    <row r="66" spans="1:35" s="26" customFormat="1" ht="12.75" x14ac:dyDescent="0.2">
      <c r="A66" s="73"/>
      <c r="B66" s="114" t="s">
        <v>79</v>
      </c>
      <c r="C66" s="73"/>
      <c r="D66" s="76"/>
      <c r="E66" s="73"/>
      <c r="F66" s="73"/>
      <c r="G66" s="77"/>
      <c r="H66" s="73"/>
      <c r="I66" s="73"/>
      <c r="J66" s="73"/>
      <c r="K66" s="73"/>
      <c r="M66" s="27"/>
      <c r="N66" s="27"/>
      <c r="O66" s="27"/>
      <c r="P66" s="27"/>
      <c r="Q66" s="27"/>
      <c r="R66" s="27"/>
      <c r="S66" s="27"/>
      <c r="T66" s="27"/>
    </row>
    <row r="67" spans="1:35" s="26" customFormat="1" ht="12.75" x14ac:dyDescent="0.2">
      <c r="A67" s="73"/>
      <c r="C67" s="73"/>
      <c r="D67" s="76"/>
      <c r="E67" s="73"/>
      <c r="F67" s="73"/>
      <c r="G67" s="73"/>
      <c r="H67" s="73"/>
      <c r="I67" s="73"/>
      <c r="J67" s="73"/>
      <c r="K67" s="73"/>
      <c r="M67" s="27"/>
      <c r="N67" s="27"/>
      <c r="O67" s="27"/>
      <c r="P67" s="27"/>
      <c r="Q67" s="27"/>
      <c r="R67" s="27"/>
      <c r="S67" s="27"/>
      <c r="T67" s="27"/>
      <c r="V67" s="40"/>
      <c r="W67" s="40"/>
      <c r="Y67" s="5"/>
      <c r="Z67" s="5"/>
      <c r="AA67" s="5"/>
      <c r="AB67" s="5"/>
      <c r="AC67" s="7"/>
      <c r="AD67" s="5"/>
      <c r="AE67" s="5"/>
      <c r="AF67" s="5"/>
      <c r="AG67" s="5"/>
      <c r="AH67" s="5"/>
      <c r="AI67" s="5"/>
    </row>
    <row r="68" spans="1:35" s="28" customFormat="1" ht="13.5" customHeight="1" x14ac:dyDescent="0.2">
      <c r="A68" s="73"/>
      <c r="B68" s="73"/>
      <c r="C68" s="73"/>
      <c r="D68" s="76"/>
      <c r="E68" s="73"/>
      <c r="F68" s="73"/>
      <c r="G68" s="73"/>
      <c r="H68" s="73"/>
      <c r="I68" s="73"/>
      <c r="J68" s="73"/>
      <c r="K68" s="73"/>
      <c r="L68" s="30"/>
      <c r="M68" s="27"/>
      <c r="N68" s="27"/>
      <c r="O68" s="27"/>
      <c r="P68" s="27"/>
      <c r="Q68" s="27"/>
      <c r="R68" s="27"/>
      <c r="S68" s="27"/>
      <c r="T68" s="27"/>
      <c r="U68" s="30"/>
      <c r="V68" s="40"/>
      <c r="W68" s="40"/>
      <c r="X68" s="30"/>
      <c r="Y68" s="5"/>
      <c r="Z68" s="18"/>
      <c r="AA68" s="46"/>
      <c r="AB68" s="46"/>
      <c r="AC68" s="5"/>
      <c r="AD68" s="5"/>
      <c r="AE68" s="5"/>
      <c r="AF68" s="5"/>
      <c r="AG68" s="5"/>
      <c r="AH68" s="5"/>
      <c r="AI68" s="5"/>
    </row>
    <row r="69" spans="1:35" s="28" customFormat="1" ht="12.75" x14ac:dyDescent="0.2">
      <c r="A69" s="77"/>
      <c r="B69" s="28" t="s">
        <v>86</v>
      </c>
      <c r="E69" s="80" t="s">
        <v>80</v>
      </c>
      <c r="F69" s="115">
        <f>J46</f>
        <v>1.3553216371475063</v>
      </c>
      <c r="G69" s="77"/>
      <c r="H69" s="77"/>
      <c r="I69" s="77"/>
      <c r="J69" s="77"/>
      <c r="K69" s="77"/>
      <c r="L69" s="30"/>
      <c r="M69" s="27"/>
      <c r="N69" s="27"/>
      <c r="O69" s="27"/>
      <c r="P69" s="27"/>
      <c r="Q69" s="27"/>
      <c r="R69" s="27"/>
      <c r="S69" s="27"/>
      <c r="T69" s="27"/>
      <c r="U69" s="30"/>
      <c r="V69" s="40"/>
      <c r="W69" s="40"/>
      <c r="X69" s="30"/>
      <c r="Y69" s="5"/>
      <c r="Z69" s="46"/>
      <c r="AA69" s="29"/>
      <c r="AB69" s="31"/>
      <c r="AC69" s="5"/>
      <c r="AD69" s="5"/>
      <c r="AE69" s="5"/>
      <c r="AF69" s="5"/>
      <c r="AG69" s="5"/>
      <c r="AH69" s="5"/>
      <c r="AI69" s="5"/>
    </row>
    <row r="70" spans="1:35" s="28" customFormat="1" ht="12.75" x14ac:dyDescent="0.2">
      <c r="A70" s="73"/>
      <c r="B70" s="80" t="s">
        <v>81</v>
      </c>
      <c r="C70" s="28" t="str">
        <f>[1]!xln(C71)</f>
        <v>3.8 × 12.7</v>
      </c>
      <c r="D70" s="77"/>
      <c r="E70" s="73"/>
      <c r="F70" s="73"/>
      <c r="G70" s="73"/>
      <c r="H70" s="73"/>
      <c r="I70" s="73"/>
      <c r="J70" s="73"/>
      <c r="K70" s="73"/>
      <c r="L70" s="30"/>
      <c r="M70" s="27"/>
      <c r="N70" s="27"/>
      <c r="O70" s="27"/>
      <c r="P70" s="27"/>
      <c r="Q70" s="27"/>
      <c r="R70" s="27"/>
      <c r="S70" s="27"/>
      <c r="T70" s="27"/>
      <c r="U70" s="30"/>
      <c r="V70" s="40"/>
      <c r="W70" s="40"/>
      <c r="X70" s="30"/>
      <c r="Y70" s="5"/>
      <c r="Z70" s="46"/>
      <c r="AA70" s="29"/>
      <c r="AB70" s="31"/>
      <c r="AC70" s="47"/>
      <c r="AD70" s="5"/>
      <c r="AE70" s="48"/>
      <c r="AF70" s="47"/>
      <c r="AG70" s="47"/>
      <c r="AH70" s="47"/>
      <c r="AI70" s="5"/>
    </row>
    <row r="71" spans="1:35" s="28" customFormat="1" ht="12.75" x14ac:dyDescent="0.2">
      <c r="A71" s="73"/>
      <c r="B71" s="76" t="s">
        <v>82</v>
      </c>
      <c r="C71" s="96">
        <f>C35*C19</f>
        <v>48.223350253807105</v>
      </c>
      <c r="D71" s="91" t="s">
        <v>106</v>
      </c>
      <c r="E71" s="73"/>
      <c r="F71" s="73"/>
      <c r="G71" s="73"/>
      <c r="H71" s="73"/>
      <c r="I71" s="73"/>
      <c r="J71" s="73"/>
      <c r="K71" s="73"/>
      <c r="L71" s="30"/>
      <c r="M71" s="27"/>
      <c r="N71" s="27"/>
      <c r="O71" s="27"/>
      <c r="P71" s="27"/>
      <c r="Q71" s="27"/>
      <c r="R71" s="27"/>
      <c r="S71" s="27"/>
      <c r="T71" s="27"/>
      <c r="U71" s="30"/>
      <c r="V71" s="40"/>
      <c r="X71" s="121">
        <v>1.5</v>
      </c>
      <c r="Y71" s="122">
        <v>1.4</v>
      </c>
      <c r="Z71" s="123">
        <v>1.3</v>
      </c>
      <c r="AA71" s="124">
        <v>1.2</v>
      </c>
      <c r="AB71" s="124">
        <v>1.1000000000000001</v>
      </c>
      <c r="AC71" s="123">
        <v>1</v>
      </c>
      <c r="AD71" s="47"/>
      <c r="AE71" s="47"/>
      <c r="AF71" s="28">
        <f>INDEX(X71:AC71,AF72)</f>
        <v>1.4</v>
      </c>
      <c r="AG71" s="28">
        <f>INDEX(X71:AC71,AG72)</f>
        <v>1.3</v>
      </c>
      <c r="AH71" s="47"/>
      <c r="AI71" s="23"/>
    </row>
    <row r="72" spans="1:35" s="28" customFormat="1" ht="12.75" x14ac:dyDescent="0.2">
      <c r="A72" s="79"/>
      <c r="B72" s="80"/>
      <c r="C72" s="81"/>
      <c r="D72" s="73"/>
      <c r="E72" s="73"/>
      <c r="F72" s="73"/>
      <c r="G72" s="73"/>
      <c r="H72" s="81"/>
      <c r="I72" s="73"/>
      <c r="J72" s="73"/>
      <c r="K72" s="73"/>
      <c r="L72" s="30"/>
      <c r="M72" s="27"/>
      <c r="N72" s="27"/>
      <c r="O72" s="27"/>
      <c r="P72" s="27"/>
      <c r="Q72" s="27"/>
      <c r="R72" s="27"/>
      <c r="S72" s="27"/>
      <c r="T72" s="27"/>
      <c r="U72" s="30"/>
      <c r="V72" s="40"/>
      <c r="W72" s="40"/>
      <c r="X72" s="30"/>
      <c r="Y72" s="23"/>
      <c r="Z72" s="50"/>
      <c r="AA72" s="29"/>
      <c r="AB72" s="31"/>
      <c r="AC72" s="51"/>
      <c r="AD72" s="51"/>
      <c r="AE72" s="51"/>
      <c r="AF72" s="28">
        <f>MATCH(AF76,X71:AC71,-1)</f>
        <v>2</v>
      </c>
      <c r="AG72" s="47">
        <f>AF72+1</f>
        <v>3</v>
      </c>
      <c r="AH72" s="51"/>
      <c r="AI72" s="23"/>
    </row>
    <row r="73" spans="1:35" s="28" customFormat="1" ht="12.75" x14ac:dyDescent="0.2">
      <c r="A73" s="79"/>
      <c r="B73" s="81" t="s">
        <v>87</v>
      </c>
      <c r="C73" s="79"/>
      <c r="D73" s="76"/>
      <c r="E73" s="73"/>
      <c r="F73" s="82"/>
      <c r="G73" s="73"/>
      <c r="H73" s="82"/>
      <c r="I73" s="77"/>
      <c r="J73" s="77"/>
      <c r="K73" s="73"/>
      <c r="L73" s="30"/>
      <c r="M73" s="27"/>
      <c r="N73" s="27"/>
      <c r="O73" s="27"/>
      <c r="P73" s="27"/>
      <c r="Q73" s="27"/>
      <c r="R73" s="27"/>
      <c r="S73" s="27"/>
      <c r="T73" s="27"/>
      <c r="U73" s="30"/>
      <c r="V73" s="40"/>
      <c r="W73" s="40"/>
      <c r="X73" s="5">
        <v>2.6888999999999998</v>
      </c>
      <c r="Y73" s="5">
        <v>2.5099999999999998</v>
      </c>
      <c r="Z73" s="5">
        <v>2.38</v>
      </c>
      <c r="AA73" s="5">
        <v>2.21</v>
      </c>
      <c r="AB73" s="5">
        <v>2.08</v>
      </c>
      <c r="AC73" s="5">
        <v>1.92</v>
      </c>
      <c r="AD73" s="5"/>
      <c r="AE73" s="5"/>
      <c r="AF73" s="5">
        <f>INDEX(X73:AC73,AF72)</f>
        <v>2.5099999999999998</v>
      </c>
      <c r="AG73" s="5">
        <f>INDEX(X73:AC73,AG72)</f>
        <v>2.38</v>
      </c>
      <c r="AH73" s="5"/>
      <c r="AI73" s="5"/>
    </row>
    <row r="74" spans="1:35" s="28" customFormat="1" ht="12.75" x14ac:dyDescent="0.2">
      <c r="A74" s="79"/>
      <c r="B74" s="80" t="s">
        <v>81</v>
      </c>
      <c r="C74" s="28" t="str">
        <f>[1]!xln(C75)</f>
        <v>3.8 × 8.63</v>
      </c>
      <c r="D74" s="83"/>
      <c r="E74" s="73"/>
      <c r="F74" s="82"/>
      <c r="G74" s="73"/>
      <c r="H74" s="82"/>
      <c r="I74" s="77"/>
      <c r="J74" s="77"/>
      <c r="K74" s="73"/>
      <c r="L74" s="30"/>
      <c r="M74" s="27"/>
      <c r="N74" s="27"/>
      <c r="O74" s="27"/>
      <c r="P74" s="27"/>
      <c r="Q74" s="27"/>
      <c r="R74" s="27"/>
      <c r="S74" s="27"/>
      <c r="T74" s="27"/>
      <c r="U74" s="30"/>
      <c r="V74" s="40"/>
      <c r="W74" s="40"/>
      <c r="X74" s="23">
        <v>-0.21</v>
      </c>
      <c r="Y74" s="23">
        <v>-0.20899999999999999</v>
      </c>
      <c r="Z74" s="23">
        <v>-0.20899999999999999</v>
      </c>
      <c r="AA74" s="23">
        <v>-0.20899999999999999</v>
      </c>
      <c r="AB74" s="23">
        <v>-0.20899999999999999</v>
      </c>
      <c r="AC74" s="23">
        <v>-0.20899999999999999</v>
      </c>
      <c r="AD74" s="5"/>
      <c r="AE74" s="5"/>
      <c r="AF74" s="5">
        <f>INDEX(X74:AC74,AF72)</f>
        <v>-0.20899999999999999</v>
      </c>
      <c r="AG74" s="5">
        <f>INDEX(X74:AC74,AG72)</f>
        <v>-0.20899999999999999</v>
      </c>
      <c r="AH74" s="51"/>
      <c r="AI74" s="5"/>
    </row>
    <row r="75" spans="1:35" s="28" customFormat="1" ht="12.75" x14ac:dyDescent="0.2">
      <c r="A75" s="73"/>
      <c r="B75" s="73"/>
      <c r="C75" s="104">
        <f>C35*C23</f>
        <v>32.791878172588831</v>
      </c>
      <c r="D75" s="91" t="s">
        <v>106</v>
      </c>
      <c r="E75" s="73"/>
      <c r="F75" s="84"/>
      <c r="G75" s="73"/>
      <c r="H75" s="84"/>
      <c r="I75" s="77"/>
      <c r="J75" s="77"/>
      <c r="K75" s="73"/>
      <c r="L75" s="30"/>
      <c r="M75" s="27"/>
      <c r="N75" s="27"/>
      <c r="O75" s="27"/>
      <c r="P75" s="27"/>
      <c r="Q75" s="27"/>
      <c r="R75" s="27"/>
      <c r="S75" s="27"/>
      <c r="T75" s="27"/>
      <c r="U75" s="30"/>
      <c r="V75" s="40"/>
      <c r="W75" s="40"/>
      <c r="X75" s="30"/>
      <c r="Y75" s="5"/>
      <c r="Z75" s="5"/>
      <c r="AA75" s="5"/>
      <c r="AB75" s="5"/>
      <c r="AC75" s="5"/>
      <c r="AD75" s="18"/>
      <c r="AE75" s="18"/>
      <c r="AF75" s="18"/>
      <c r="AG75" s="18"/>
      <c r="AH75" s="51"/>
      <c r="AI75" s="5"/>
    </row>
    <row r="76" spans="1:35" s="28" customFormat="1" ht="12.75" x14ac:dyDescent="0.2">
      <c r="A76" s="79"/>
      <c r="B76" s="73"/>
      <c r="C76" s="83"/>
      <c r="D76" s="84"/>
      <c r="E76" s="73"/>
      <c r="F76" s="84"/>
      <c r="G76" s="73"/>
      <c r="H76" s="84"/>
      <c r="I76" s="77"/>
      <c r="J76" s="77"/>
      <c r="K76" s="73"/>
      <c r="L76" s="30"/>
      <c r="M76" s="27"/>
      <c r="N76" s="27"/>
      <c r="O76" s="27"/>
      <c r="P76" s="27"/>
      <c r="Q76" s="27"/>
      <c r="R76" s="27"/>
      <c r="S76" s="27"/>
      <c r="T76" s="27"/>
      <c r="U76" s="30"/>
      <c r="V76" s="40"/>
      <c r="W76" s="40"/>
      <c r="X76" s="30"/>
      <c r="Y76" s="5"/>
      <c r="Z76" s="5"/>
      <c r="AA76" s="5"/>
      <c r="AB76" s="5"/>
      <c r="AC76" s="5"/>
      <c r="AD76" s="18"/>
      <c r="AE76" s="18"/>
      <c r="AF76" s="49">
        <f>IF(F69&gt;1.5,1.5,F69)</f>
        <v>1.3553216371475063</v>
      </c>
      <c r="AG76" s="18"/>
      <c r="AH76" s="51"/>
      <c r="AI76" s="5"/>
    </row>
    <row r="77" spans="1:35" s="28" customFormat="1" ht="14.25" x14ac:dyDescent="0.25">
      <c r="A77" s="79"/>
      <c r="B77" s="120" t="s">
        <v>88</v>
      </c>
      <c r="C77" s="83"/>
      <c r="D77" s="84"/>
      <c r="E77" s="73"/>
      <c r="F77" s="84"/>
      <c r="G77" s="73"/>
      <c r="H77" s="84"/>
      <c r="I77" s="77"/>
      <c r="J77" s="77"/>
      <c r="K77" s="73"/>
      <c r="L77" s="30"/>
      <c r="M77" s="27"/>
      <c r="N77" s="27"/>
      <c r="O77" s="27"/>
      <c r="P77" s="27"/>
      <c r="Q77" s="27"/>
      <c r="R77" s="27"/>
      <c r="S77" s="27"/>
      <c r="T77" s="27"/>
      <c r="U77" s="30"/>
      <c r="V77" s="40"/>
      <c r="W77" s="40">
        <v>0</v>
      </c>
      <c r="X77" s="30"/>
      <c r="Y77" s="5"/>
      <c r="Z77" s="5"/>
      <c r="AA77" s="5"/>
      <c r="AB77" s="5"/>
      <c r="AC77" s="5"/>
      <c r="AD77" s="18">
        <v>1</v>
      </c>
      <c r="AE77" s="18"/>
      <c r="AF77" s="18"/>
      <c r="AG77" s="18"/>
      <c r="AH77" s="5"/>
      <c r="AI77" s="5"/>
    </row>
    <row r="78" spans="1:35" s="28" customFormat="1" ht="12.75" x14ac:dyDescent="0.2">
      <c r="A78" s="79"/>
      <c r="B78" s="79"/>
      <c r="C78" s="83"/>
      <c r="D78" s="84"/>
      <c r="E78" s="73"/>
      <c r="F78" s="84"/>
      <c r="G78" s="73"/>
      <c r="H78" s="84"/>
      <c r="I78" s="77"/>
      <c r="J78" s="77"/>
      <c r="K78" s="79"/>
      <c r="L78" s="30"/>
      <c r="M78" s="27"/>
      <c r="N78" s="27"/>
      <c r="O78" s="27"/>
      <c r="P78" s="27"/>
      <c r="Q78" s="27"/>
      <c r="R78" s="27"/>
      <c r="S78" s="27"/>
      <c r="T78" s="27"/>
      <c r="U78" s="30"/>
      <c r="V78" s="40"/>
      <c r="W78" s="40">
        <v>5</v>
      </c>
      <c r="X78" s="117">
        <f xml:space="preserve"> X73*W78^X74</f>
        <v>1.9177454023549534</v>
      </c>
      <c r="Y78" s="117">
        <f xml:space="preserve"> Y73*W78^Y74</f>
        <v>1.7930359227956436</v>
      </c>
      <c r="Z78" s="117">
        <f xml:space="preserve"> Z73*W78^Z74</f>
        <v>1.7001695204197738</v>
      </c>
      <c r="AA78" s="117">
        <f xml:space="preserve"> AA73*W78^AA74</f>
        <v>1.5787288403897899</v>
      </c>
      <c r="AB78" s="117">
        <f xml:space="preserve"> AB73*W78^AB74</f>
        <v>1.48586243801392</v>
      </c>
      <c r="AC78" s="117">
        <f xml:space="preserve"> AC73*W78^AC74</f>
        <v>1.3715653273974644</v>
      </c>
      <c r="AD78" s="18">
        <v>1</v>
      </c>
      <c r="AE78" s="18"/>
      <c r="AF78" s="18"/>
      <c r="AG78" s="18"/>
      <c r="AH78" s="5"/>
      <c r="AI78" s="5"/>
    </row>
    <row r="79" spans="1:35" s="28" customFormat="1" ht="12.75" x14ac:dyDescent="0.2">
      <c r="A79" s="79"/>
      <c r="B79" s="79"/>
      <c r="C79" s="83"/>
      <c r="D79" s="84"/>
      <c r="E79" s="73"/>
      <c r="F79" s="84"/>
      <c r="G79" s="73"/>
      <c r="H79" s="84"/>
      <c r="I79" s="77"/>
      <c r="J79" s="77"/>
      <c r="K79" s="79"/>
      <c r="L79" s="30"/>
      <c r="M79" s="27"/>
      <c r="N79" s="27"/>
      <c r="O79" s="27"/>
      <c r="P79" s="27"/>
      <c r="Q79" s="27"/>
      <c r="R79" s="27"/>
      <c r="S79" s="27"/>
      <c r="T79" s="27"/>
      <c r="U79" s="30"/>
      <c r="V79" s="40"/>
      <c r="W79" s="40">
        <v>7</v>
      </c>
      <c r="X79" s="117">
        <f xml:space="preserve"> X73*W79^X74</f>
        <v>1.7869156923480813</v>
      </c>
      <c r="Y79" s="117">
        <f xml:space="preserve"> Y73*W79^Y74</f>
        <v>1.6712762096790972</v>
      </c>
      <c r="Z79" s="117">
        <f xml:space="preserve"> Z73*W79^Z74</f>
        <v>1.5847160872654389</v>
      </c>
      <c r="AA79" s="117">
        <f xml:space="preserve"> AA73*W79^AA74</f>
        <v>1.4715220810321934</v>
      </c>
      <c r="AB79" s="117">
        <f xml:space="preserve"> AB73*W79^AB74</f>
        <v>1.3849619586185349</v>
      </c>
      <c r="AC79" s="117">
        <f xml:space="preserve"> AC73*W79^AC74</f>
        <v>1.2784264233401861</v>
      </c>
      <c r="AD79" s="18">
        <v>1</v>
      </c>
      <c r="AE79" s="40">
        <f>C71</f>
        <v>48.223350253807105</v>
      </c>
      <c r="AF79" s="117">
        <f xml:space="preserve"> AF73*AE79^AF74</f>
        <v>1.1165365111918288</v>
      </c>
      <c r="AG79" s="117">
        <f xml:space="preserve"> AG73*AE79^AG74</f>
        <v>1.0587079269468338</v>
      </c>
      <c r="AH79" s="5"/>
      <c r="AI79" s="5"/>
    </row>
    <row r="80" spans="1:35" s="28" customFormat="1" ht="12.75" x14ac:dyDescent="0.2">
      <c r="A80" s="73"/>
      <c r="B80" s="73"/>
      <c r="C80" s="73"/>
      <c r="D80" s="73"/>
      <c r="E80" s="73"/>
      <c r="F80" s="73"/>
      <c r="G80" s="73"/>
      <c r="H80" s="73"/>
      <c r="I80" s="73"/>
      <c r="J80" s="73"/>
      <c r="K80" s="73"/>
      <c r="L80" s="30"/>
      <c r="M80" s="27"/>
      <c r="N80" s="27"/>
      <c r="O80" s="27"/>
      <c r="P80" s="27"/>
      <c r="Q80" s="27"/>
      <c r="R80" s="27"/>
      <c r="S80" s="27"/>
      <c r="T80" s="27"/>
      <c r="U80" s="30"/>
      <c r="V80" s="40"/>
      <c r="W80" s="40">
        <v>9</v>
      </c>
      <c r="X80" s="117">
        <f xml:space="preserve"> X73*W80^X74</f>
        <v>1.6950547256132058</v>
      </c>
      <c r="Y80" s="117">
        <f xml:space="preserve"> Y73*W80^Y74</f>
        <v>1.5857584599172345</v>
      </c>
      <c r="Z80" s="117">
        <f xml:space="preserve"> Z73*W80^Z74</f>
        <v>1.5036275436665412</v>
      </c>
      <c r="AA80" s="117">
        <f xml:space="preserve"> AA73*W80^AA74</f>
        <v>1.3962255762617883</v>
      </c>
      <c r="AB80" s="117">
        <f xml:space="preserve"> AB73*W80^AB74</f>
        <v>1.314094660011095</v>
      </c>
      <c r="AC80" s="117">
        <f xml:space="preserve"> AC73*W80^AC74</f>
        <v>1.2130104553948566</v>
      </c>
      <c r="AD80" s="18">
        <v>1</v>
      </c>
      <c r="AE80" s="51"/>
      <c r="AF80" s="54">
        <f>(AF79-AG79)/(AF71-AG71)*(AF76-AG71)+AG79</f>
        <v>1.09069964649039</v>
      </c>
      <c r="AG80" s="51"/>
      <c r="AH80" s="51"/>
      <c r="AI80" s="23"/>
    </row>
    <row r="81" spans="1:35" s="28" customFormat="1" ht="12.75" x14ac:dyDescent="0.2">
      <c r="A81" s="73"/>
      <c r="B81" s="73"/>
      <c r="C81" s="73"/>
      <c r="D81" s="73"/>
      <c r="E81" s="73"/>
      <c r="F81" s="73"/>
      <c r="G81" s="73"/>
      <c r="H81" s="73"/>
      <c r="I81" s="73"/>
      <c r="J81" s="73"/>
      <c r="K81" s="73"/>
      <c r="L81" s="30"/>
      <c r="M81" s="27"/>
      <c r="N81" s="27"/>
      <c r="O81" s="27"/>
      <c r="P81" s="27"/>
      <c r="Q81" s="27"/>
      <c r="R81" s="27"/>
      <c r="S81" s="27"/>
      <c r="T81" s="27"/>
      <c r="U81" s="30"/>
      <c r="V81" s="40"/>
      <c r="W81" s="40">
        <v>11</v>
      </c>
      <c r="X81" s="117">
        <f xml:space="preserve"> X73*W81^X74</f>
        <v>1.6251078466709674</v>
      </c>
      <c r="Y81" s="117">
        <f xml:space="preserve"> Y73*W81^Y74</f>
        <v>1.5206268347464533</v>
      </c>
      <c r="Z81" s="117">
        <f xml:space="preserve"> Z73*W81^Z74</f>
        <v>1.4418692696002227</v>
      </c>
      <c r="AA81" s="117">
        <f xml:space="preserve"> AA73*W81^AA74</f>
        <v>1.3388786074859211</v>
      </c>
      <c r="AB81" s="117">
        <f xml:space="preserve"> AB73*W81^AB74</f>
        <v>1.2601210423396905</v>
      </c>
      <c r="AC81" s="117">
        <f xml:space="preserve"> AC73*W81^AC74</f>
        <v>1.1631886544674066</v>
      </c>
      <c r="AD81" s="18">
        <v>1</v>
      </c>
      <c r="AE81" s="45"/>
      <c r="AF81" s="45"/>
      <c r="AG81" s="45"/>
      <c r="AH81" s="45"/>
      <c r="AI81" s="44"/>
    </row>
    <row r="82" spans="1:35" s="28" customFormat="1" ht="12.75" x14ac:dyDescent="0.2">
      <c r="A82" s="80"/>
      <c r="B82" s="77"/>
      <c r="C82" s="77"/>
      <c r="D82" s="85"/>
      <c r="E82" s="73"/>
      <c r="F82" s="73"/>
      <c r="G82" s="73"/>
      <c r="H82" s="73"/>
      <c r="I82" s="73"/>
      <c r="J82" s="73"/>
      <c r="K82" s="73"/>
      <c r="L82" s="30"/>
      <c r="M82" s="27"/>
      <c r="N82" s="27"/>
      <c r="O82" s="27"/>
      <c r="P82" s="27"/>
      <c r="Q82" s="27"/>
      <c r="R82" s="27"/>
      <c r="S82" s="27"/>
      <c r="T82" s="27"/>
      <c r="U82" s="30"/>
      <c r="V82" s="40"/>
      <c r="W82" s="40">
        <v>13</v>
      </c>
      <c r="X82" s="117">
        <f xml:space="preserve"> X73*W82^X74</f>
        <v>1.5690852762615055</v>
      </c>
      <c r="Y82" s="117">
        <f xml:space="preserve"> Y73*W82^Y74</f>
        <v>1.4684513432006499</v>
      </c>
      <c r="Z82" s="117">
        <f xml:space="preserve"> Z73*W82^Z74</f>
        <v>1.3923960943496203</v>
      </c>
      <c r="AA82" s="117">
        <f xml:space="preserve"> AA73*W82^AA74</f>
        <v>1.2929392304675045</v>
      </c>
      <c r="AB82" s="117">
        <f xml:space="preserve"> AB73*W82^AB74</f>
        <v>1.2168839816164749</v>
      </c>
      <c r="AC82" s="117">
        <f xml:space="preserve"> AC73*W82^AC74</f>
        <v>1.1232775214921307</v>
      </c>
      <c r="AD82" s="18">
        <v>1</v>
      </c>
      <c r="AE82" s="45"/>
      <c r="AF82" s="45"/>
      <c r="AG82" s="45"/>
      <c r="AH82" s="45"/>
      <c r="AI82" s="44"/>
    </row>
    <row r="83" spans="1:35" s="28" customFormat="1" ht="12.75" x14ac:dyDescent="0.2">
      <c r="A83" s="76"/>
      <c r="B83" s="86"/>
      <c r="C83" s="87"/>
      <c r="D83" s="88"/>
      <c r="E83" s="73"/>
      <c r="F83" s="76"/>
      <c r="G83" s="78"/>
      <c r="H83" s="73"/>
      <c r="I83" s="77"/>
      <c r="J83" s="73"/>
      <c r="K83" s="73"/>
      <c r="L83" s="30"/>
      <c r="M83" s="27"/>
      <c r="N83" s="27"/>
      <c r="O83" s="27"/>
      <c r="P83" s="27"/>
      <c r="Q83" s="27"/>
      <c r="R83" s="27"/>
      <c r="S83" s="27"/>
      <c r="T83" s="27"/>
      <c r="U83" s="30"/>
      <c r="V83" s="40"/>
      <c r="W83" s="40">
        <v>15</v>
      </c>
      <c r="X83" s="117">
        <f xml:space="preserve"> X73*W83^X74</f>
        <v>1.5226338720264994</v>
      </c>
      <c r="Y83" s="117">
        <f xml:space="preserve"> Y73*W83^Y74</f>
        <v>1.4251830492904716</v>
      </c>
      <c r="Z83" s="117">
        <f xml:space="preserve"> Z73*W83^Z74</f>
        <v>1.3513687877734353</v>
      </c>
      <c r="AA83" s="117">
        <f xml:space="preserve"> AA73*W83^AA74</f>
        <v>1.2548424457896183</v>
      </c>
      <c r="AB83" s="117">
        <f xml:space="preserve"> AB73*W83^AB74</f>
        <v>1.181028184272582</v>
      </c>
      <c r="AC83" s="117">
        <f xml:space="preserve"> AC73*W83^AC74</f>
        <v>1.0901798624054604</v>
      </c>
      <c r="AD83" s="18">
        <v>1</v>
      </c>
      <c r="AE83" s="45"/>
      <c r="AF83" s="45"/>
      <c r="AG83" s="45"/>
      <c r="AH83" s="45"/>
      <c r="AI83" s="44"/>
    </row>
    <row r="84" spans="1:35" s="28" customFormat="1" ht="12.75" x14ac:dyDescent="0.2">
      <c r="A84" s="80"/>
      <c r="B84" s="77"/>
      <c r="C84" s="77"/>
      <c r="D84" s="88"/>
      <c r="E84" s="73"/>
      <c r="F84" s="76"/>
      <c r="G84" s="73"/>
      <c r="H84" s="73"/>
      <c r="I84" s="77"/>
      <c r="J84" s="81"/>
      <c r="K84" s="81"/>
      <c r="L84" s="30"/>
      <c r="M84" s="27"/>
      <c r="N84" s="27"/>
      <c r="O84" s="27"/>
      <c r="P84" s="27"/>
      <c r="Q84" s="27"/>
      <c r="R84" s="27"/>
      <c r="S84" s="27"/>
      <c r="T84" s="27"/>
      <c r="U84" s="30"/>
      <c r="V84" s="40"/>
      <c r="W84" s="40">
        <v>17</v>
      </c>
      <c r="X84" s="117">
        <f xml:space="preserve"> X73*W84^X74</f>
        <v>1.4831339545270961</v>
      </c>
      <c r="Y84" s="117">
        <f xml:space="preserve"> Y73*W84^Y74</f>
        <v>1.3883849487571391</v>
      </c>
      <c r="Z84" s="117">
        <f xml:space="preserve"> Z73*W84^Z74</f>
        <v>1.3164765649569687</v>
      </c>
      <c r="AA84" s="117">
        <f xml:space="preserve"> AA73*W84^AA74</f>
        <v>1.2224425246028996</v>
      </c>
      <c r="AB84" s="117">
        <f xml:space="preserve"> AB73*W84^AB74</f>
        <v>1.150534140802729</v>
      </c>
      <c r="AC84" s="117">
        <f xml:space="preserve"> AC73*W84^AC74</f>
        <v>1.0620315145871344</v>
      </c>
      <c r="AD84" s="18">
        <v>1</v>
      </c>
      <c r="AE84" s="45"/>
      <c r="AF84" s="45"/>
      <c r="AG84" s="45"/>
      <c r="AH84" s="45"/>
      <c r="AI84" s="44"/>
    </row>
    <row r="85" spans="1:35" s="28" customFormat="1" ht="12.75" x14ac:dyDescent="0.2">
      <c r="A85" s="80"/>
      <c r="B85" s="89"/>
      <c r="C85" s="73"/>
      <c r="D85" s="73"/>
      <c r="E85" s="73"/>
      <c r="F85" s="80"/>
      <c r="G85" s="81"/>
      <c r="H85" s="73"/>
      <c r="I85" s="77"/>
      <c r="J85" s="81"/>
      <c r="K85" s="81"/>
      <c r="L85" s="30"/>
      <c r="M85" s="27"/>
      <c r="N85" s="27"/>
      <c r="O85" s="27"/>
      <c r="P85" s="27"/>
      <c r="Q85" s="27"/>
      <c r="R85" s="27"/>
      <c r="S85" s="27"/>
      <c r="T85" s="27"/>
      <c r="U85" s="30"/>
      <c r="V85" s="40"/>
      <c r="W85" s="40">
        <v>21</v>
      </c>
      <c r="X85" s="117">
        <f xml:space="preserve"> X73*W85^X74</f>
        <v>1.41875890109488</v>
      </c>
      <c r="Y85" s="117">
        <f xml:space="preserve"> Y73*W85^Y74</f>
        <v>1.328403125913582</v>
      </c>
      <c r="Z85" s="117">
        <f xml:space="preserve"> Z73*W85^Z74</f>
        <v>1.2596013703881774</v>
      </c>
      <c r="AA85" s="117">
        <f xml:space="preserve"> AA73*W85^AA74</f>
        <v>1.1696298439318791</v>
      </c>
      <c r="AB85" s="117">
        <f xml:space="preserve"> AB73*W85^AB74</f>
        <v>1.1008280884064745</v>
      </c>
      <c r="AC85" s="117">
        <f xml:space="preserve"> AC73*W85^AC74</f>
        <v>1.0161490046828994</v>
      </c>
      <c r="AD85" s="18">
        <v>1</v>
      </c>
      <c r="AE85" s="40">
        <f>C75</f>
        <v>32.791878172588831</v>
      </c>
      <c r="AF85" s="117">
        <f xml:space="preserve"> AF73*AE85^AF74</f>
        <v>1.2102596843212126</v>
      </c>
      <c r="AG85" s="117">
        <f xml:space="preserve"> AG73*AE85^AG74</f>
        <v>1.1475769118264885</v>
      </c>
      <c r="AH85" s="45"/>
      <c r="AI85" s="44"/>
    </row>
    <row r="86" spans="1:35" s="28" customFormat="1" ht="12.75" x14ac:dyDescent="0.2">
      <c r="A86" s="73"/>
      <c r="B86" s="77"/>
      <c r="C86" s="77"/>
      <c r="D86" s="90"/>
      <c r="E86" s="73"/>
      <c r="F86" s="80"/>
      <c r="G86" s="77"/>
      <c r="H86" s="77"/>
      <c r="I86" s="73"/>
      <c r="J86" s="73"/>
      <c r="K86" s="73"/>
      <c r="L86" s="30"/>
      <c r="M86" s="27"/>
      <c r="N86" s="27"/>
      <c r="O86" s="27"/>
      <c r="P86" s="27"/>
      <c r="Q86" s="27"/>
      <c r="R86" s="27"/>
      <c r="S86" s="27"/>
      <c r="T86" s="27"/>
      <c r="U86" s="30"/>
      <c r="V86" s="40"/>
      <c r="W86" s="40">
        <v>25</v>
      </c>
      <c r="X86" s="117">
        <f xml:space="preserve"> X73*W86^X74</f>
        <v>1.3677516561618366</v>
      </c>
      <c r="Y86" s="117">
        <f xml:space="preserve"> Y73*W86^Y74</f>
        <v>1.2808676575440741</v>
      </c>
      <c r="Z86" s="117">
        <f xml:space="preserve"> Z73*W86^Z74</f>
        <v>1.2145278983884049</v>
      </c>
      <c r="AA86" s="117">
        <f xml:space="preserve"> AA73*W86^AA74</f>
        <v>1.1277759056463761</v>
      </c>
      <c r="AB86" s="117">
        <f xml:space="preserve"> AB73*W86^AB74</f>
        <v>1.0614361464907069</v>
      </c>
      <c r="AC86" s="117">
        <f xml:space="preserve"> AC73*W86^AC74</f>
        <v>0.97978721214526787</v>
      </c>
      <c r="AD86" s="18">
        <v>1</v>
      </c>
      <c r="AE86" s="43"/>
      <c r="AF86" s="54">
        <f>(AF85-AG85)/(AF71-AG71)*(AF76-AG71)+AG85</f>
        <v>1.1822540477800167</v>
      </c>
      <c r="AG86" s="42"/>
      <c r="AH86" s="5"/>
      <c r="AI86" s="5"/>
    </row>
    <row r="87" spans="1:35" s="28" customFormat="1" ht="12.75" x14ac:dyDescent="0.2">
      <c r="A87" s="73"/>
      <c r="B87" s="73"/>
      <c r="C87" s="73"/>
      <c r="D87" s="73"/>
      <c r="E87" s="73"/>
      <c r="F87" s="80"/>
      <c r="G87" s="77"/>
      <c r="H87" s="77"/>
      <c r="I87" s="73"/>
      <c r="J87" s="73"/>
      <c r="K87" s="73"/>
      <c r="L87" s="30"/>
      <c r="M87" s="27"/>
      <c r="N87" s="27"/>
      <c r="O87" s="27"/>
      <c r="P87" s="27"/>
      <c r="Q87" s="27"/>
      <c r="R87" s="27"/>
      <c r="S87" s="27"/>
      <c r="T87" s="27"/>
      <c r="U87" s="30"/>
      <c r="V87" s="40"/>
      <c r="W87" s="40">
        <v>29</v>
      </c>
      <c r="X87" s="117">
        <f xml:space="preserve"> X73*W87^X74</f>
        <v>1.3257788045080106</v>
      </c>
      <c r="Y87" s="117">
        <f xml:space="preserve"> Y73*W87^Y74</f>
        <v>1.2417453430379408</v>
      </c>
      <c r="Z87" s="117">
        <f xml:space="preserve"> Z73*W87^Z74</f>
        <v>1.1774318392152587</v>
      </c>
      <c r="AA87" s="117">
        <f xml:space="preserve"> AA73*W87^AA74</f>
        <v>1.0933295649855974</v>
      </c>
      <c r="AB87" s="117">
        <f xml:space="preserve"> AB73*W87^AB74</f>
        <v>1.0290160611629153</v>
      </c>
      <c r="AC87" s="117">
        <f xml:space="preserve"> AC73*W87^AC74</f>
        <v>0.9498609795349986</v>
      </c>
      <c r="AD87" s="18">
        <v>1</v>
      </c>
      <c r="AE87" s="41"/>
      <c r="AF87" s="41"/>
      <c r="AG87" s="41"/>
      <c r="AH87" s="41"/>
      <c r="AI87" s="41"/>
    </row>
    <row r="88" spans="1:35" s="28" customFormat="1" ht="12.75" x14ac:dyDescent="0.2">
      <c r="A88" s="73"/>
      <c r="B88" s="91"/>
      <c r="C88" s="77"/>
      <c r="D88" s="90"/>
      <c r="E88" s="73"/>
      <c r="F88" s="73"/>
      <c r="G88" s="73"/>
      <c r="H88" s="73"/>
      <c r="I88" s="73"/>
      <c r="J88" s="73"/>
      <c r="K88" s="73"/>
      <c r="L88" s="30"/>
      <c r="M88" s="27"/>
      <c r="N88" s="27"/>
      <c r="O88" s="27"/>
      <c r="P88" s="27"/>
      <c r="Q88" s="27"/>
      <c r="R88" s="27"/>
      <c r="S88" s="27"/>
      <c r="T88" s="27"/>
      <c r="U88" s="30"/>
      <c r="V88" s="40"/>
      <c r="W88" s="40">
        <v>33</v>
      </c>
      <c r="X88" s="117">
        <f xml:space="preserve"> X73*W88^X74</f>
        <v>1.2902881946679121</v>
      </c>
      <c r="Y88" s="117">
        <f xml:space="preserve"> Y73*W88^Y74</f>
        <v>1.2086604410010284</v>
      </c>
      <c r="Z88" s="117">
        <f xml:space="preserve"> Z73*W88^Z74</f>
        <v>1.1460604978416127</v>
      </c>
      <c r="AA88" s="117">
        <f xml:space="preserve"> AA73*W88^AA74</f>
        <v>1.0641990337100689</v>
      </c>
      <c r="AB88" s="117">
        <f xml:space="preserve"> AB73*W88^AB74</f>
        <v>1.0015990905506531</v>
      </c>
      <c r="AC88" s="117">
        <f xml:space="preserve"> AC73*W88^AC74</f>
        <v>0.92455300666214124</v>
      </c>
      <c r="AD88" s="18">
        <v>1</v>
      </c>
      <c r="AE88" s="41"/>
      <c r="AF88" s="49">
        <f>AE79</f>
        <v>48.223350253807105</v>
      </c>
      <c r="AG88" s="49">
        <v>0</v>
      </c>
      <c r="AH88" s="41"/>
      <c r="AI88" s="41"/>
    </row>
    <row r="89" spans="1:35" s="28" customFormat="1" ht="12.75" x14ac:dyDescent="0.2">
      <c r="A89" s="73"/>
      <c r="B89" s="73"/>
      <c r="C89" s="73"/>
      <c r="D89" s="73"/>
      <c r="E89" s="73"/>
      <c r="F89" s="73"/>
      <c r="G89" s="73"/>
      <c r="H89" s="73"/>
      <c r="I89" s="73"/>
      <c r="J89" s="73"/>
      <c r="K89" s="73"/>
      <c r="L89" s="30"/>
      <c r="M89" s="27"/>
      <c r="N89" s="27"/>
      <c r="O89" s="27"/>
      <c r="P89" s="27"/>
      <c r="Q89" s="27"/>
      <c r="R89" s="27"/>
      <c r="S89" s="27"/>
      <c r="T89" s="27"/>
      <c r="U89" s="30"/>
      <c r="V89" s="40"/>
      <c r="W89" s="40">
        <v>37</v>
      </c>
      <c r="X89" s="117">
        <f xml:space="preserve"> X73*W89^X74</f>
        <v>1.2596569555492649</v>
      </c>
      <c r="Y89" s="117">
        <f xml:space="preserve"> Y73*W89^Y74</f>
        <v>1.1801020401013891</v>
      </c>
      <c r="Z89" s="117">
        <f xml:space="preserve"> Z73*W89^Z74</f>
        <v>1.1189812173072933</v>
      </c>
      <c r="AA89" s="117">
        <f xml:space="preserve"> AA73*W89^AA74</f>
        <v>1.0390539874996296</v>
      </c>
      <c r="AB89" s="117">
        <f xml:space="preserve"> AB73*W89^AB74</f>
        <v>0.97793316470553371</v>
      </c>
      <c r="AC89" s="117">
        <f xml:space="preserve"> AC73*W89^AC74</f>
        <v>0.90270753665126191</v>
      </c>
      <c r="AD89" s="18">
        <v>1</v>
      </c>
      <c r="AE89" s="41"/>
      <c r="AF89" s="49">
        <f>AF88</f>
        <v>48.223350253807105</v>
      </c>
      <c r="AG89" s="49">
        <f>AF80</f>
        <v>1.09069964649039</v>
      </c>
      <c r="AH89" s="41"/>
      <c r="AI89" s="41"/>
    </row>
    <row r="90" spans="1:35" s="28" customFormat="1" ht="12.75" x14ac:dyDescent="0.2">
      <c r="A90" s="80"/>
      <c r="B90" s="76"/>
      <c r="C90" s="73"/>
      <c r="D90" s="73"/>
      <c r="E90" s="73"/>
      <c r="F90" s="73"/>
      <c r="G90" s="73"/>
      <c r="H90" s="73"/>
      <c r="I90" s="73"/>
      <c r="J90" s="87"/>
      <c r="K90" s="73"/>
      <c r="L90" s="30"/>
      <c r="M90" s="27"/>
      <c r="N90" s="27"/>
      <c r="O90" s="27"/>
      <c r="P90" s="27"/>
      <c r="Q90" s="27"/>
      <c r="R90" s="27"/>
      <c r="S90" s="27"/>
      <c r="T90" s="27"/>
      <c r="U90" s="30"/>
      <c r="V90" s="40"/>
      <c r="W90" s="40">
        <v>41</v>
      </c>
      <c r="X90" s="117">
        <f xml:space="preserve"> X73*W90^X74</f>
        <v>1.2327926636507454</v>
      </c>
      <c r="Y90" s="117">
        <f xml:space="preserve"> Y73*W90^Y74</f>
        <v>1.1550529547630946</v>
      </c>
      <c r="Z90" s="117">
        <f xml:space="preserve"> Z73*W90^Z74</f>
        <v>1.0952294949546475</v>
      </c>
      <c r="AA90" s="117">
        <f xml:space="preserve"> AA73*W90^AA74</f>
        <v>1.0169988167436013</v>
      </c>
      <c r="AB90" s="117">
        <f xml:space="preserve"> AB73*W90^AB74</f>
        <v>0.9571753569351541</v>
      </c>
      <c r="AC90" s="117">
        <f xml:space="preserve"> AC73*W90^AC74</f>
        <v>0.8835464833247576</v>
      </c>
      <c r="AD90" s="18">
        <v>1</v>
      </c>
      <c r="AE90" s="41"/>
      <c r="AF90" s="49">
        <v>0</v>
      </c>
      <c r="AG90" s="49">
        <f>AG89</f>
        <v>1.09069964649039</v>
      </c>
      <c r="AH90" s="41"/>
      <c r="AI90" s="41"/>
    </row>
    <row r="91" spans="1:35" s="28" customFormat="1" ht="12.75" x14ac:dyDescent="0.2">
      <c r="A91" s="73"/>
      <c r="B91" s="92"/>
      <c r="C91" s="93"/>
      <c r="D91" s="88"/>
      <c r="E91" s="73"/>
      <c r="F91" s="73"/>
      <c r="G91" s="73"/>
      <c r="H91" s="73"/>
      <c r="I91" s="73"/>
      <c r="J91" s="73"/>
      <c r="K91" s="73"/>
      <c r="L91" s="30"/>
      <c r="M91" s="27"/>
      <c r="N91" s="27"/>
      <c r="O91" s="27"/>
      <c r="P91" s="27"/>
      <c r="Q91" s="27"/>
      <c r="R91" s="27"/>
      <c r="S91" s="27"/>
      <c r="T91" s="27"/>
      <c r="U91" s="30"/>
      <c r="V91" s="40"/>
      <c r="W91" s="40">
        <v>45</v>
      </c>
      <c r="X91" s="117">
        <f xml:space="preserve"> X73*W91^X74</f>
        <v>1.2089268499329702</v>
      </c>
      <c r="Y91" s="117">
        <f xml:space="preserve"> Y73*W91^Y74</f>
        <v>1.1327975631508758</v>
      </c>
      <c r="Z91" s="117">
        <f xml:space="preserve"> Z73*W91^Z74</f>
        <v>1.0741267730275237</v>
      </c>
      <c r="AA91" s="117">
        <f xml:space="preserve"> AA73*W91^AA74</f>
        <v>0.99740343209698634</v>
      </c>
      <c r="AB91" s="117">
        <f xml:space="preserve"> AB73*W91^AB74</f>
        <v>0.93873264197363415</v>
      </c>
      <c r="AC91" s="117">
        <f xml:space="preserve"> AC73*W91^AC74</f>
        <v>0.8665224387448931</v>
      </c>
      <c r="AD91" s="18">
        <v>1</v>
      </c>
      <c r="AE91" s="41"/>
      <c r="AF91" s="49"/>
      <c r="AG91" s="49"/>
      <c r="AH91" s="41"/>
      <c r="AI91" s="41"/>
    </row>
    <row r="92" spans="1:35" s="28" customFormat="1" ht="12.75" x14ac:dyDescent="0.2">
      <c r="A92" s="73"/>
      <c r="B92" s="76"/>
      <c r="C92" s="78"/>
      <c r="D92" s="73"/>
      <c r="E92" s="73"/>
      <c r="F92" s="73"/>
      <c r="G92" s="73"/>
      <c r="H92" s="73"/>
      <c r="I92" s="73"/>
      <c r="J92" s="83"/>
      <c r="K92" s="73"/>
      <c r="L92" s="30"/>
      <c r="M92" s="27"/>
      <c r="N92" s="27"/>
      <c r="O92" s="27"/>
      <c r="P92" s="27"/>
      <c r="Q92" s="27"/>
      <c r="R92" s="27"/>
      <c r="S92" s="27"/>
      <c r="T92" s="27"/>
      <c r="U92" s="30"/>
      <c r="V92" s="40"/>
      <c r="W92" s="40">
        <v>49</v>
      </c>
      <c r="X92" s="117">
        <f xml:space="preserve"> X73*W92^X74</f>
        <v>1.1874996063668501</v>
      </c>
      <c r="Y92" s="117">
        <f xml:space="preserve"> Y73*W92^Y74</f>
        <v>1.1128144099758284</v>
      </c>
      <c r="Z92" s="117">
        <f xml:space="preserve"> Z73*W92^Z74</f>
        <v>1.0551786038814628</v>
      </c>
      <c r="AA92" s="117">
        <f xml:space="preserve"> AA73*W92^AA74</f>
        <v>0.97980870360421557</v>
      </c>
      <c r="AB92" s="117">
        <f xml:space="preserve"> AB73*W92^AB74</f>
        <v>0.92217289750984999</v>
      </c>
      <c r="AC92" s="117">
        <f xml:space="preserve"> AC73*W92^AC74</f>
        <v>0.85123652077832301</v>
      </c>
      <c r="AD92" s="18">
        <v>1</v>
      </c>
      <c r="AE92" s="5"/>
      <c r="AF92" s="49">
        <f>AE85</f>
        <v>32.791878172588831</v>
      </c>
      <c r="AG92" s="49">
        <v>0</v>
      </c>
      <c r="AH92" s="5"/>
      <c r="AI92" s="5"/>
    </row>
    <row r="93" spans="1:35" s="28" customFormat="1" ht="12.75" x14ac:dyDescent="0.2">
      <c r="A93" s="80"/>
      <c r="B93" s="89"/>
      <c r="C93" s="73"/>
      <c r="D93" s="73"/>
      <c r="E93" s="73"/>
      <c r="F93" s="80"/>
      <c r="G93" s="89"/>
      <c r="H93" s="73"/>
      <c r="I93" s="73"/>
      <c r="J93" s="73"/>
      <c r="K93" s="73"/>
      <c r="L93" s="30"/>
      <c r="M93" s="27"/>
      <c r="N93" s="27"/>
      <c r="O93" s="27"/>
      <c r="P93" s="27"/>
      <c r="Q93" s="27"/>
      <c r="R93" s="27"/>
      <c r="S93" s="27"/>
      <c r="T93" s="27"/>
      <c r="U93" s="30"/>
      <c r="V93" s="40"/>
      <c r="W93" s="40">
        <v>53</v>
      </c>
      <c r="X93" s="117">
        <f xml:space="preserve"> X73*W93^X74</f>
        <v>1.1680911096525677</v>
      </c>
      <c r="Y93" s="117">
        <f xml:space="preserve"> Y73*W93^Y74</f>
        <v>1.0947124687947876</v>
      </c>
      <c r="Z93" s="117">
        <f xml:space="preserve"> Z73*W93^Z74</f>
        <v>1.0380142134388821</v>
      </c>
      <c r="AA93" s="117">
        <f xml:space="preserve"> AA73*W93^AA74</f>
        <v>0.9638703410503906</v>
      </c>
      <c r="AB93" s="117">
        <f xml:space="preserve"> AB73*W93^AB74</f>
        <v>0.90717208569448538</v>
      </c>
      <c r="AC93" s="117">
        <f xml:space="preserve"> AC73*W93^AC74</f>
        <v>0.83738961756414021</v>
      </c>
      <c r="AD93" s="18">
        <v>1</v>
      </c>
      <c r="AE93" s="5"/>
      <c r="AF93" s="49">
        <f>AF92</f>
        <v>32.791878172588831</v>
      </c>
      <c r="AG93" s="49">
        <f>AF86</f>
        <v>1.1822540477800167</v>
      </c>
      <c r="AH93" s="5"/>
      <c r="AI93" s="51"/>
    </row>
    <row r="94" spans="1:35" s="28" customFormat="1" ht="12.75" x14ac:dyDescent="0.2">
      <c r="A94" s="73"/>
      <c r="B94" s="94"/>
      <c r="C94" s="93"/>
      <c r="D94" s="88"/>
      <c r="E94" s="87"/>
      <c r="F94" s="73"/>
      <c r="G94" s="91"/>
      <c r="H94" s="77"/>
      <c r="I94" s="73"/>
      <c r="J94" s="73"/>
      <c r="K94" s="73"/>
      <c r="L94" s="30"/>
      <c r="M94" s="27"/>
      <c r="N94" s="27"/>
      <c r="O94" s="27"/>
      <c r="P94" s="27"/>
      <c r="Q94" s="27"/>
      <c r="R94" s="27"/>
      <c r="S94" s="27"/>
      <c r="T94" s="27"/>
      <c r="U94" s="30"/>
      <c r="V94" s="40"/>
      <c r="W94" s="40">
        <v>60</v>
      </c>
      <c r="X94" s="117">
        <f xml:space="preserve"> X73*W94^X74</f>
        <v>1.1380540497724598</v>
      </c>
      <c r="Y94" s="117">
        <f xml:space="preserve"> Y73*W94^Y74</f>
        <v>1.066694633435104</v>
      </c>
      <c r="Z94" s="117">
        <f xml:space="preserve"> Z73*W94^Z74</f>
        <v>1.0114475010261146</v>
      </c>
      <c r="AA94" s="117">
        <f xml:space="preserve"> AA73*W94^AA74</f>
        <v>0.93920125095282081</v>
      </c>
      <c r="AB94" s="117">
        <f xml:space="preserve"> AB73*W94^AB74</f>
        <v>0.88395411854383132</v>
      </c>
      <c r="AC94" s="117">
        <f xml:space="preserve"> AC73*W94^AC74</f>
        <v>0.81595764788661351</v>
      </c>
      <c r="AD94" s="18">
        <v>1</v>
      </c>
      <c r="AE94" s="5"/>
      <c r="AF94" s="49">
        <v>0</v>
      </c>
      <c r="AG94" s="49">
        <f>AG93</f>
        <v>1.1822540477800167</v>
      </c>
      <c r="AH94" s="5"/>
      <c r="AI94" s="51"/>
    </row>
    <row r="95" spans="1:35" s="28" customFormat="1" ht="12.75" x14ac:dyDescent="0.2">
      <c r="A95" s="73"/>
      <c r="B95" s="76"/>
      <c r="C95" s="93"/>
      <c r="D95" s="73"/>
      <c r="E95" s="73"/>
      <c r="F95" s="73"/>
      <c r="G95" s="73"/>
      <c r="H95" s="73"/>
      <c r="I95" s="73"/>
      <c r="J95" s="73"/>
      <c r="K95" s="73"/>
      <c r="L95" s="30"/>
      <c r="M95" s="27"/>
      <c r="N95" s="27"/>
      <c r="O95" s="27"/>
      <c r="P95" s="27"/>
      <c r="Q95" s="27"/>
      <c r="R95" s="27"/>
      <c r="S95" s="27"/>
      <c r="T95" s="27"/>
      <c r="U95" s="30"/>
      <c r="V95" s="40"/>
      <c r="W95" s="40">
        <v>67</v>
      </c>
      <c r="X95" s="117">
        <f xml:space="preserve"> X73*W95^X74</f>
        <v>1.111985034970159</v>
      </c>
      <c r="Y95" s="117">
        <f xml:space="preserve"> Y73*W95^Y74</f>
        <v>1.0423752421082668</v>
      </c>
      <c r="Z95" s="117">
        <f xml:space="preserve"> Z73*W95^Z74</f>
        <v>0.98838767976799802</v>
      </c>
      <c r="AA95" s="117">
        <f xml:space="preserve"> AA73*W95^AA74</f>
        <v>0.91778855978456964</v>
      </c>
      <c r="AB95" s="117">
        <f xml:space="preserve"> AB73*W95^AB74</f>
        <v>0.86380099744430083</v>
      </c>
      <c r="AC95" s="117">
        <f xml:space="preserve"> AC73*W95^AC74</f>
        <v>0.79735476687166229</v>
      </c>
      <c r="AD95" s="18">
        <v>1</v>
      </c>
      <c r="AE95" s="5"/>
      <c r="AF95" s="5"/>
      <c r="AG95" s="5"/>
      <c r="AH95" s="5"/>
      <c r="AI95" s="51"/>
    </row>
    <row r="96" spans="1:35" s="28" customFormat="1" ht="12.75" x14ac:dyDescent="0.2">
      <c r="A96" s="80"/>
      <c r="B96" s="76"/>
      <c r="C96" s="95"/>
      <c r="D96" s="73"/>
      <c r="E96" s="73"/>
      <c r="F96" s="80"/>
      <c r="G96" s="89"/>
      <c r="H96" s="73"/>
      <c r="I96" s="73"/>
      <c r="J96" s="73"/>
      <c r="K96" s="73"/>
      <c r="L96" s="30"/>
      <c r="M96" s="27"/>
      <c r="N96" s="27"/>
      <c r="O96" s="27"/>
      <c r="P96" s="27"/>
      <c r="Q96" s="27"/>
      <c r="R96" s="27"/>
      <c r="S96" s="27"/>
      <c r="T96" s="27"/>
      <c r="U96" s="30"/>
      <c r="V96" s="40"/>
      <c r="W96" s="40">
        <v>74</v>
      </c>
      <c r="X96" s="117">
        <f xml:space="preserve"> X73*W96^X74</f>
        <v>1.0890203367482558</v>
      </c>
      <c r="Y96" s="117">
        <f xml:space="preserve"> Y73*W96^Y74</f>
        <v>1.0209495735259089</v>
      </c>
      <c r="Z96" s="117">
        <f xml:space="preserve"> Z73*W96^Z74</f>
        <v>0.96807170716799329</v>
      </c>
      <c r="AA96" s="117">
        <f xml:space="preserve"> AA73*W96^AA74</f>
        <v>0.89892372808456522</v>
      </c>
      <c r="AB96" s="117">
        <f xml:space="preserve"> AB73*W96^AB74</f>
        <v>0.84604586172664964</v>
      </c>
      <c r="AC96" s="117">
        <f xml:space="preserve"> AC73*W96^AC74</f>
        <v>0.78096541082459969</v>
      </c>
      <c r="AD96" s="18">
        <v>1</v>
      </c>
      <c r="AE96" s="5"/>
      <c r="AF96" s="5"/>
      <c r="AG96" s="5"/>
      <c r="AH96" s="5"/>
      <c r="AI96" s="51"/>
    </row>
    <row r="97" spans="1:35" s="28" customFormat="1" ht="12.75" x14ac:dyDescent="0.2">
      <c r="A97" s="73"/>
      <c r="B97" s="28" t="s">
        <v>86</v>
      </c>
      <c r="C97" s="96"/>
      <c r="D97" s="88"/>
      <c r="E97" s="83"/>
      <c r="F97" s="73"/>
      <c r="G97" s="96"/>
      <c r="H97" s="77"/>
      <c r="I97" s="97"/>
      <c r="J97" s="73"/>
      <c r="K97" s="73"/>
      <c r="L97" s="30"/>
      <c r="M97" s="27"/>
      <c r="N97" s="27"/>
      <c r="O97" s="27"/>
      <c r="P97" s="27"/>
      <c r="Q97" s="27"/>
      <c r="R97" s="27"/>
      <c r="S97" s="27"/>
      <c r="T97" s="27"/>
      <c r="U97" s="30"/>
      <c r="V97" s="40"/>
      <c r="W97" s="40">
        <v>85</v>
      </c>
      <c r="X97" s="117">
        <f xml:space="preserve"> X73*W97^X74</f>
        <v>1.0577832282237565</v>
      </c>
      <c r="Y97" s="117">
        <f xml:space="preserve"> Y73*W97^Y74</f>
        <v>0.99180242541447805</v>
      </c>
      <c r="Z97" s="117">
        <f xml:space="preserve"> Z73*W97^Z74</f>
        <v>0.94043417230536175</v>
      </c>
      <c r="AA97" s="117">
        <f xml:space="preserve"> AA73*W97^AA74</f>
        <v>0.8732603028549788</v>
      </c>
      <c r="AB97" s="117">
        <f xml:space="preserve"> AB73*W97^AB74</f>
        <v>0.82189204974586239</v>
      </c>
      <c r="AC97" s="117">
        <f xml:space="preserve"> AC73*W97^AC74</f>
        <v>0.75866958438079601</v>
      </c>
      <c r="AD97" s="18">
        <v>1</v>
      </c>
      <c r="AE97" s="5"/>
      <c r="AF97" s="5"/>
      <c r="AG97" s="5"/>
      <c r="AH97" s="5"/>
      <c r="AI97" s="5"/>
    </row>
    <row r="98" spans="1:35" s="28" customFormat="1" ht="12.75" x14ac:dyDescent="0.2">
      <c r="A98" s="73"/>
      <c r="B98" s="109" t="s">
        <v>89</v>
      </c>
      <c r="C98" s="113">
        <f>AF80</f>
        <v>1.09069964649039</v>
      </c>
      <c r="D98" s="73"/>
      <c r="E98" s="73"/>
      <c r="F98" s="73"/>
      <c r="G98" s="73"/>
      <c r="H98" s="73"/>
      <c r="I98" s="73"/>
      <c r="J98" s="73"/>
      <c r="K98" s="73"/>
      <c r="L98" s="30"/>
      <c r="M98" s="27"/>
      <c r="N98" s="27"/>
      <c r="O98" s="27"/>
      <c r="P98" s="27"/>
      <c r="Q98" s="27"/>
      <c r="R98" s="27"/>
      <c r="S98" s="27"/>
      <c r="T98" s="27"/>
      <c r="U98" s="30"/>
      <c r="V98" s="40"/>
      <c r="W98" s="40">
        <v>95</v>
      </c>
      <c r="X98" s="117">
        <f xml:space="preserve"> X73*W98^X74</f>
        <v>1.0333624923345925</v>
      </c>
      <c r="Y98" s="117">
        <f xml:space="preserve"> Y73*W98^Y74</f>
        <v>0.96901274232772328</v>
      </c>
      <c r="Z98" s="117">
        <f xml:space="preserve"> Z73*W98^Z74</f>
        <v>0.91882483137051052</v>
      </c>
      <c r="AA98" s="117">
        <f xml:space="preserve"> AA73*W98^AA74</f>
        <v>0.85319448627261696</v>
      </c>
      <c r="AB98" s="117">
        <f xml:space="preserve"> AB73*W98^AB74</f>
        <v>0.8030065753154042</v>
      </c>
      <c r="AC98" s="117">
        <f xml:space="preserve"> AC73*W98^AC74</f>
        <v>0.74123683875268076</v>
      </c>
      <c r="AD98" s="18">
        <v>1</v>
      </c>
      <c r="AE98" s="5"/>
      <c r="AF98" s="5"/>
      <c r="AG98" s="5"/>
      <c r="AH98" s="51"/>
      <c r="AI98" s="5"/>
    </row>
    <row r="99" spans="1:35" s="28" customFormat="1" ht="12.75" x14ac:dyDescent="0.2">
      <c r="A99" s="73"/>
      <c r="B99" s="76"/>
      <c r="C99" s="125"/>
      <c r="D99" s="73"/>
      <c r="E99" s="73"/>
      <c r="F99" s="82"/>
      <c r="G99" s="73"/>
      <c r="H99" s="73"/>
      <c r="I99" s="82"/>
      <c r="J99" s="73"/>
      <c r="K99" s="73"/>
      <c r="L99" s="30"/>
      <c r="M99" s="27"/>
      <c r="N99" s="27"/>
      <c r="O99" s="27"/>
      <c r="P99" s="27"/>
      <c r="Q99" s="27"/>
      <c r="R99" s="27"/>
      <c r="S99" s="27"/>
      <c r="T99" s="27"/>
      <c r="U99" s="30"/>
      <c r="V99" s="40"/>
      <c r="W99" s="40">
        <v>105</v>
      </c>
      <c r="X99" s="117">
        <f xml:space="preserve"> X73*W99^X74</f>
        <v>1.0118704152719968</v>
      </c>
      <c r="Y99" s="117">
        <f xml:space="preserve"> Y73*W99^Y74</f>
        <v>0.94895399391118629</v>
      </c>
      <c r="Z99" s="117">
        <f xml:space="preserve"> Z73*W99^Z74</f>
        <v>0.89980498227435191</v>
      </c>
      <c r="AA99" s="117">
        <f xml:space="preserve"> AA73*W99^AA74</f>
        <v>0.83553319782618396</v>
      </c>
      <c r="AB99" s="117">
        <f xml:space="preserve"> AB73*W99^AB74</f>
        <v>0.78638418618934969</v>
      </c>
      <c r="AC99" s="117">
        <f xml:space="preserve"> AC73*W99^AC74</f>
        <v>0.72589309494401499</v>
      </c>
      <c r="AD99" s="18">
        <v>1</v>
      </c>
      <c r="AE99" s="5"/>
      <c r="AF99" s="5"/>
      <c r="AG99" s="5"/>
      <c r="AH99" s="5"/>
      <c r="AI99" s="5"/>
    </row>
    <row r="100" spans="1:35" s="28" customFormat="1" ht="12.75" x14ac:dyDescent="0.2">
      <c r="A100" s="73"/>
      <c r="B100" s="81" t="s">
        <v>87</v>
      </c>
      <c r="C100" s="126"/>
      <c r="D100" s="73"/>
      <c r="E100" s="74"/>
      <c r="F100" s="82"/>
      <c r="G100" s="73"/>
      <c r="H100" s="73"/>
      <c r="I100" s="82"/>
      <c r="J100" s="73"/>
      <c r="K100" s="73"/>
      <c r="L100" s="30"/>
      <c r="M100" s="27"/>
      <c r="N100" s="27"/>
      <c r="O100" s="27"/>
      <c r="P100" s="27"/>
      <c r="Q100" s="27"/>
      <c r="R100" s="27"/>
      <c r="S100" s="27"/>
      <c r="T100" s="27"/>
      <c r="U100" s="30"/>
      <c r="V100" s="40"/>
      <c r="W100" s="40"/>
      <c r="X100" s="30"/>
      <c r="Y100" s="52"/>
      <c r="Z100" s="52"/>
      <c r="AA100" s="52"/>
      <c r="AB100" s="52"/>
      <c r="AC100" s="52"/>
      <c r="AD100" s="5"/>
      <c r="AE100" s="5"/>
      <c r="AF100" s="5"/>
      <c r="AG100" s="5"/>
      <c r="AH100" s="5"/>
      <c r="AI100" s="5"/>
    </row>
    <row r="101" spans="1:35" s="28" customFormat="1" ht="12.75" x14ac:dyDescent="0.2">
      <c r="A101" s="73"/>
      <c r="B101" s="109" t="s">
        <v>89</v>
      </c>
      <c r="C101" s="113">
        <f>AF86</f>
        <v>1.1822540477800167</v>
      </c>
      <c r="D101" s="82"/>
      <c r="E101" s="74"/>
      <c r="F101" s="82"/>
      <c r="G101" s="73"/>
      <c r="H101" s="73"/>
      <c r="I101" s="82"/>
      <c r="J101" s="73"/>
      <c r="K101" s="73"/>
      <c r="L101" s="30"/>
      <c r="M101" s="27"/>
      <c r="N101" s="27"/>
      <c r="O101" s="27"/>
      <c r="P101" s="27"/>
      <c r="Q101" s="27"/>
      <c r="R101" s="27"/>
      <c r="S101" s="27"/>
      <c r="T101" s="27"/>
      <c r="U101" s="30"/>
      <c r="V101" s="40"/>
      <c r="W101" s="40"/>
      <c r="X101" s="30"/>
      <c r="Y101" s="52"/>
      <c r="Z101" s="18"/>
      <c r="AA101" s="41"/>
      <c r="AB101" s="5"/>
      <c r="AC101" s="5"/>
      <c r="AD101" s="5"/>
      <c r="AE101" s="5"/>
      <c r="AF101" s="5"/>
      <c r="AG101" s="5"/>
      <c r="AH101" s="5"/>
      <c r="AI101" s="5"/>
    </row>
    <row r="102" spans="1:35" s="28" customFormat="1" ht="12.75" x14ac:dyDescent="0.2">
      <c r="A102" s="73"/>
      <c r="B102" s="100"/>
      <c r="C102" s="82"/>
      <c r="D102" s="82"/>
      <c r="E102" s="74"/>
      <c r="F102" s="82"/>
      <c r="G102" s="73"/>
      <c r="H102" s="73"/>
      <c r="I102" s="82"/>
      <c r="J102" s="73"/>
      <c r="K102" s="73"/>
      <c r="L102" s="30"/>
      <c r="M102" s="27"/>
      <c r="N102" s="27"/>
      <c r="O102" s="27"/>
      <c r="P102" s="27"/>
      <c r="Q102" s="27"/>
      <c r="R102" s="27"/>
      <c r="S102" s="27"/>
      <c r="T102" s="27"/>
      <c r="U102" s="30"/>
      <c r="V102" s="40"/>
      <c r="W102" s="40"/>
      <c r="X102" s="30"/>
      <c r="Y102" s="18"/>
      <c r="Z102" s="51"/>
      <c r="AA102" s="55"/>
      <c r="AB102" s="51"/>
      <c r="AC102" s="5"/>
      <c r="AD102" s="5"/>
      <c r="AE102" s="5"/>
      <c r="AF102" s="5"/>
      <c r="AG102" s="5"/>
      <c r="AH102" s="5"/>
      <c r="AI102" s="5"/>
    </row>
    <row r="103" spans="1:35" s="28" customFormat="1" ht="12.75" x14ac:dyDescent="0.2">
      <c r="A103" s="73"/>
      <c r="B103" s="82"/>
      <c r="C103" s="82"/>
      <c r="D103" s="74"/>
      <c r="E103" s="82"/>
      <c r="F103" s="73"/>
      <c r="G103" s="73"/>
      <c r="H103" s="82"/>
      <c r="I103" s="73"/>
      <c r="J103" s="73"/>
      <c r="K103" s="73"/>
      <c r="L103" s="30"/>
      <c r="M103" s="27"/>
      <c r="N103" s="27"/>
      <c r="O103" s="27"/>
      <c r="P103" s="27"/>
      <c r="Q103" s="27"/>
      <c r="R103" s="27"/>
      <c r="S103" s="27"/>
      <c r="T103" s="27"/>
      <c r="U103" s="30"/>
      <c r="V103" s="40"/>
      <c r="W103" s="40"/>
      <c r="X103" s="30"/>
      <c r="Y103" s="18"/>
      <c r="Z103" s="5"/>
      <c r="AA103" s="41"/>
      <c r="AB103" s="5"/>
      <c r="AC103" s="5"/>
      <c r="AD103" s="5"/>
      <c r="AE103" s="5"/>
      <c r="AF103" s="5"/>
      <c r="AG103" s="5"/>
      <c r="AH103" s="5"/>
      <c r="AI103" s="5"/>
    </row>
    <row r="104" spans="1:35" s="28" customFormat="1" ht="12.75" x14ac:dyDescent="0.2">
      <c r="A104" s="5"/>
      <c r="B104" s="28" t="s">
        <v>86</v>
      </c>
      <c r="C104" s="96"/>
      <c r="D104" s="88"/>
      <c r="E104" s="46"/>
      <c r="F104" s="46"/>
      <c r="G104" s="5"/>
      <c r="H104" s="46"/>
      <c r="I104" s="46"/>
      <c r="J104" s="5"/>
      <c r="K104" s="5"/>
      <c r="L104" s="30"/>
      <c r="M104" s="27"/>
      <c r="N104" s="27"/>
      <c r="O104" s="27"/>
      <c r="P104" s="27"/>
      <c r="Q104" s="27"/>
      <c r="R104" s="27"/>
      <c r="S104" s="27"/>
      <c r="T104" s="27"/>
      <c r="U104" s="30"/>
      <c r="V104" s="40"/>
      <c r="W104" s="40"/>
      <c r="X104" s="30"/>
      <c r="Y104" s="5"/>
      <c r="Z104" s="5"/>
      <c r="AA104" s="5"/>
      <c r="AB104" s="5"/>
      <c r="AC104" s="5"/>
      <c r="AD104" s="5"/>
      <c r="AE104" s="5"/>
      <c r="AF104" s="5"/>
      <c r="AG104" s="5"/>
      <c r="AH104" s="5"/>
      <c r="AI104" s="5"/>
    </row>
    <row r="105" spans="1:35" s="28" customFormat="1" ht="12.75" x14ac:dyDescent="0.2">
      <c r="A105" s="5"/>
      <c r="B105" s="109" t="s">
        <v>51</v>
      </c>
      <c r="C105" s="113">
        <f>C98*C35</f>
        <v>4.1446586566634815</v>
      </c>
      <c r="D105" s="73"/>
      <c r="E105" s="49"/>
      <c r="F105" s="40"/>
      <c r="G105" s="5"/>
      <c r="H105" s="49"/>
      <c r="I105" s="40"/>
      <c r="J105" s="47"/>
      <c r="K105" s="47"/>
      <c r="L105" s="30"/>
      <c r="M105" s="27"/>
      <c r="N105" s="27"/>
      <c r="O105" s="27"/>
      <c r="P105" s="27"/>
      <c r="Q105" s="27"/>
      <c r="R105" s="27"/>
      <c r="S105" s="27"/>
      <c r="T105" s="27"/>
      <c r="U105" s="30"/>
      <c r="V105" s="40"/>
      <c r="W105" s="40"/>
      <c r="X105" s="30"/>
    </row>
    <row r="106" spans="1:35" s="28" customFormat="1" ht="12.75" x14ac:dyDescent="0.2">
      <c r="A106" s="5"/>
      <c r="B106" s="76"/>
      <c r="C106" s="125"/>
      <c r="D106" s="73"/>
      <c r="E106" s="49"/>
      <c r="F106" s="40"/>
      <c r="G106" s="5"/>
      <c r="H106" s="49"/>
      <c r="I106" s="40"/>
      <c r="J106" s="47"/>
      <c r="K106" s="47"/>
      <c r="L106" s="30"/>
      <c r="M106" s="27"/>
      <c r="N106" s="27"/>
      <c r="O106" s="27"/>
      <c r="P106" s="27"/>
      <c r="Q106" s="27"/>
      <c r="R106" s="27"/>
      <c r="S106" s="27"/>
      <c r="T106" s="27"/>
      <c r="U106" s="30"/>
      <c r="V106" s="40"/>
      <c r="W106" s="40"/>
      <c r="X106" s="30"/>
    </row>
    <row r="107" spans="1:35" s="28" customFormat="1" ht="12.75" x14ac:dyDescent="0.2">
      <c r="A107" s="5"/>
      <c r="B107" s="81" t="s">
        <v>87</v>
      </c>
      <c r="C107" s="126"/>
      <c r="D107" s="73"/>
      <c r="E107" s="49"/>
      <c r="F107" s="40"/>
      <c r="G107" s="5"/>
      <c r="H107" s="49"/>
      <c r="I107" s="40"/>
      <c r="J107" s="47"/>
      <c r="K107" s="47"/>
      <c r="L107" s="30"/>
      <c r="M107" s="27"/>
      <c r="N107" s="27"/>
      <c r="O107" s="27"/>
      <c r="P107" s="27"/>
      <c r="Q107" s="27"/>
      <c r="R107" s="27"/>
      <c r="S107" s="27"/>
      <c r="T107" s="27"/>
      <c r="U107" s="30"/>
      <c r="V107" s="56"/>
      <c r="W107" s="40"/>
      <c r="X107" s="30"/>
    </row>
    <row r="108" spans="1:35" s="28" customFormat="1" ht="12.75" x14ac:dyDescent="0.2">
      <c r="A108" s="5"/>
      <c r="B108" s="109" t="s">
        <v>51</v>
      </c>
      <c r="C108" s="113">
        <f>C101*C35</f>
        <v>4.4925653815640638</v>
      </c>
      <c r="D108" s="82"/>
      <c r="E108" s="49"/>
      <c r="F108" s="40"/>
      <c r="G108" s="5"/>
      <c r="H108" s="49"/>
      <c r="I108" s="40"/>
      <c r="J108" s="47"/>
      <c r="K108" s="47"/>
      <c r="L108" s="30"/>
      <c r="M108" s="27"/>
      <c r="N108" s="27"/>
      <c r="O108" s="27"/>
      <c r="P108" s="27"/>
      <c r="Q108" s="27"/>
      <c r="R108" s="27"/>
      <c r="S108" s="27"/>
      <c r="T108" s="27"/>
      <c r="U108" s="30"/>
      <c r="V108" s="5"/>
      <c r="W108" s="5"/>
      <c r="X108" s="30"/>
    </row>
    <row r="109" spans="1:35" s="28" customFormat="1" ht="12.75" x14ac:dyDescent="0.2">
      <c r="A109" s="58"/>
      <c r="B109" s="59"/>
      <c r="C109" s="60"/>
      <c r="D109" s="58"/>
      <c r="E109" s="58"/>
      <c r="F109" s="58"/>
      <c r="G109" s="60"/>
      <c r="H109" s="58"/>
      <c r="I109" s="58"/>
      <c r="J109" s="58"/>
      <c r="K109" s="58"/>
      <c r="L109" s="30"/>
      <c r="M109" s="27"/>
      <c r="N109" s="27"/>
      <c r="O109" s="27"/>
      <c r="P109" s="27"/>
      <c r="Q109" s="27"/>
      <c r="R109" s="27"/>
      <c r="S109" s="27"/>
      <c r="T109" s="27"/>
      <c r="U109" s="30"/>
      <c r="V109" s="30"/>
      <c r="W109" s="30"/>
      <c r="X109" s="30"/>
    </row>
    <row r="110" spans="1:35" s="28" customFormat="1" ht="12.75" x14ac:dyDescent="0.2">
      <c r="A110" s="145" t="s">
        <v>118</v>
      </c>
      <c r="B110" s="146"/>
      <c r="C110" s="146"/>
      <c r="D110" s="146"/>
      <c r="E110" s="146"/>
      <c r="F110" s="146"/>
      <c r="G110" s="147"/>
      <c r="H110" s="147"/>
      <c r="I110" s="147"/>
      <c r="J110" s="147"/>
      <c r="K110" s="148"/>
      <c r="L110" s="30"/>
      <c r="M110" s="27"/>
      <c r="N110" s="27"/>
      <c r="O110" s="27"/>
      <c r="P110" s="27"/>
      <c r="Q110" s="27"/>
      <c r="R110" s="27"/>
      <c r="S110" s="27"/>
      <c r="T110" s="27"/>
      <c r="U110" s="30"/>
      <c r="V110" s="30"/>
      <c r="W110" s="30"/>
      <c r="X110" s="30"/>
    </row>
    <row r="111" spans="1:35" s="28" customFormat="1" ht="12.75" x14ac:dyDescent="0.2">
      <c r="A111" s="149"/>
      <c r="B111" s="149"/>
      <c r="C111" s="149"/>
      <c r="D111" s="150"/>
      <c r="E111" s="150"/>
      <c r="F111" s="151" t="s">
        <v>119</v>
      </c>
      <c r="G111" s="152" t="s">
        <v>120</v>
      </c>
      <c r="H111" s="153"/>
      <c r="I111" s="154"/>
      <c r="J111" s="154"/>
      <c r="K111" s="155"/>
      <c r="L111" s="30"/>
      <c r="M111" s="27"/>
      <c r="N111" s="27"/>
      <c r="O111" s="27"/>
      <c r="P111" s="27"/>
      <c r="Q111" s="27"/>
      <c r="R111" s="27"/>
      <c r="S111" s="27"/>
      <c r="T111" s="27"/>
      <c r="U111" s="30"/>
      <c r="V111" s="30"/>
      <c r="W111" s="30"/>
      <c r="X111" s="30"/>
    </row>
    <row r="112" spans="1:35" s="5" customFormat="1" ht="12.75" x14ac:dyDescent="0.2">
      <c r="A112" s="14"/>
      <c r="E112" s="7" t="s">
        <v>1</v>
      </c>
      <c r="F112" s="8" t="str">
        <f>$C$1</f>
        <v>R. Abbott</v>
      </c>
      <c r="H112" s="15"/>
      <c r="I112" s="7" t="s">
        <v>8</v>
      </c>
      <c r="J112" s="16" t="str">
        <f>$G$2</f>
        <v>AA-SM-515-000</v>
      </c>
      <c r="K112" s="17"/>
      <c r="L112" s="18"/>
      <c r="M112" s="9"/>
      <c r="N112" s="9"/>
      <c r="O112" s="9"/>
      <c r="P112" s="9"/>
      <c r="Q112" s="11"/>
      <c r="R112" s="12"/>
      <c r="S112" s="36"/>
      <c r="T112" s="35"/>
    </row>
    <row r="113" spans="1:35" s="5" customFormat="1" ht="12.75" x14ac:dyDescent="0.2">
      <c r="E113" s="7" t="s">
        <v>2</v>
      </c>
      <c r="F113" s="15" t="str">
        <f>$C$2</f>
        <v xml:space="preserve"> </v>
      </c>
      <c r="H113" s="15"/>
      <c r="I113" s="7" t="s">
        <v>9</v>
      </c>
      <c r="J113" s="17" t="str">
        <f>$G$3</f>
        <v>IR</v>
      </c>
      <c r="K113" s="17"/>
      <c r="L113" s="18"/>
      <c r="M113" s="9">
        <v>1</v>
      </c>
      <c r="N113" s="9"/>
      <c r="O113" s="9"/>
      <c r="P113" s="9"/>
      <c r="Q113" s="11"/>
      <c r="R113" s="12"/>
      <c r="S113" s="36"/>
      <c r="T113" s="35"/>
    </row>
    <row r="114" spans="1:35" s="5" customFormat="1" ht="12.75" x14ac:dyDescent="0.2">
      <c r="E114" s="7" t="s">
        <v>3</v>
      </c>
      <c r="F114" s="15" t="str">
        <f>$C$3</f>
        <v>05/03/2017</v>
      </c>
      <c r="H114" s="15"/>
      <c r="I114" s="7" t="s">
        <v>6</v>
      </c>
      <c r="J114" s="8" t="str">
        <f>L114&amp;" of "&amp;$G$1</f>
        <v>3 of 17</v>
      </c>
      <c r="K114" s="15"/>
      <c r="L114" s="18">
        <f>SUM($M$1:M113)</f>
        <v>3</v>
      </c>
      <c r="M114" s="9"/>
      <c r="N114" s="9"/>
      <c r="O114" s="9"/>
      <c r="P114" s="9"/>
      <c r="Q114" s="11"/>
      <c r="R114" s="12"/>
      <c r="S114" s="36"/>
      <c r="T114" s="35"/>
    </row>
    <row r="115" spans="1:35" s="5" customFormat="1" ht="12.75" x14ac:dyDescent="0.2">
      <c r="A115" s="26"/>
      <c r="B115" s="26"/>
      <c r="C115" s="26"/>
      <c r="D115" s="26"/>
      <c r="E115" s="7" t="s">
        <v>29</v>
      </c>
      <c r="F115" s="15" t="str">
        <f>$C$5</f>
        <v>STANDARD SPREADSHEET METHOD</v>
      </c>
      <c r="I115" s="19"/>
      <c r="J115" s="8"/>
      <c r="M115" s="9"/>
      <c r="N115" s="9"/>
      <c r="O115" s="9"/>
      <c r="P115" s="9"/>
      <c r="Q115" s="9"/>
      <c r="R115" s="9"/>
      <c r="S115" s="34"/>
      <c r="T115" s="35"/>
    </row>
    <row r="116" spans="1:35" s="28" customFormat="1" x14ac:dyDescent="0.25">
      <c r="A116" s="70"/>
      <c r="B116" s="21" t="str">
        <f>$G$4</f>
        <v>SIMPLIFIED PART 23 AIRCRAFT LOADS</v>
      </c>
      <c r="C116" s="71"/>
      <c r="D116" s="71"/>
      <c r="E116" s="72"/>
      <c r="F116" s="71"/>
      <c r="G116" s="71"/>
      <c r="H116" s="71"/>
      <c r="I116" s="71"/>
      <c r="J116" s="71"/>
      <c r="K116" s="71"/>
      <c r="L116" s="30"/>
      <c r="M116" s="37"/>
      <c r="N116" s="38"/>
      <c r="O116" s="38"/>
      <c r="P116" s="38"/>
      <c r="Q116" s="38"/>
      <c r="R116" s="37"/>
      <c r="S116" s="37"/>
      <c r="T116" s="39"/>
    </row>
    <row r="117" spans="1:35" s="26" customFormat="1" ht="12.75" x14ac:dyDescent="0.2">
      <c r="A117" s="73"/>
      <c r="B117" s="73" t="s">
        <v>47</v>
      </c>
      <c r="C117" s="73"/>
      <c r="D117" s="73"/>
      <c r="E117" s="73"/>
      <c r="F117" s="73"/>
      <c r="G117" s="73"/>
      <c r="H117" s="73"/>
      <c r="I117" s="73"/>
      <c r="J117" s="73"/>
      <c r="K117" s="73"/>
      <c r="L117" s="29"/>
      <c r="M117" s="27"/>
      <c r="N117" s="27"/>
      <c r="O117" s="27"/>
      <c r="P117" s="27"/>
      <c r="Q117" s="27"/>
      <c r="R117" s="27"/>
      <c r="S117" s="27"/>
      <c r="T117" s="27"/>
    </row>
    <row r="118" spans="1:35" s="26" customFormat="1" ht="12.75" x14ac:dyDescent="0.2">
      <c r="A118" s="73"/>
      <c r="B118" s="114" t="s">
        <v>79</v>
      </c>
      <c r="C118" s="73"/>
      <c r="D118" s="76"/>
      <c r="E118" s="73"/>
      <c r="F118" s="73"/>
      <c r="G118" s="77"/>
      <c r="H118" s="73"/>
      <c r="I118" s="73"/>
      <c r="J118" s="73"/>
      <c r="K118" s="73"/>
      <c r="M118" s="27"/>
      <c r="N118" s="27"/>
      <c r="O118" s="27"/>
      <c r="P118" s="27"/>
      <c r="Q118" s="27"/>
      <c r="R118" s="27"/>
      <c r="S118" s="27"/>
      <c r="T118" s="27"/>
    </row>
    <row r="119" spans="1:35" s="26" customFormat="1" ht="12.75" x14ac:dyDescent="0.2">
      <c r="A119" s="73"/>
      <c r="C119" s="73"/>
      <c r="D119" s="76"/>
      <c r="E119" s="73"/>
      <c r="F119" s="73"/>
      <c r="G119" s="73"/>
      <c r="H119" s="73"/>
      <c r="I119" s="73"/>
      <c r="J119" s="73"/>
      <c r="K119" s="73"/>
      <c r="M119" s="27"/>
      <c r="N119" s="27"/>
      <c r="O119" s="27"/>
      <c r="P119" s="27"/>
      <c r="Q119" s="27"/>
      <c r="R119" s="27"/>
      <c r="S119" s="27"/>
      <c r="T119" s="27"/>
      <c r="V119" s="40"/>
      <c r="W119" s="40"/>
      <c r="Y119" s="5"/>
      <c r="Z119" s="5"/>
      <c r="AA119" s="5"/>
      <c r="AB119" s="5"/>
      <c r="AC119" s="7"/>
      <c r="AD119" s="5"/>
      <c r="AE119" s="5"/>
      <c r="AF119" s="5"/>
      <c r="AG119" s="5"/>
      <c r="AH119" s="5"/>
      <c r="AI119" s="5"/>
    </row>
    <row r="120" spans="1:35" s="28" customFormat="1" ht="13.5" customHeight="1" x14ac:dyDescent="0.2">
      <c r="A120" s="73"/>
      <c r="B120" s="73"/>
      <c r="C120" s="73"/>
      <c r="D120" s="76"/>
      <c r="E120" s="73"/>
      <c r="F120" s="73"/>
      <c r="G120" s="73"/>
      <c r="H120" s="73"/>
      <c r="I120" s="73"/>
      <c r="J120" s="73"/>
      <c r="K120" s="73"/>
      <c r="L120" s="30"/>
      <c r="M120" s="27"/>
      <c r="N120" s="27"/>
      <c r="O120" s="27"/>
      <c r="P120" s="27"/>
      <c r="Q120" s="27"/>
      <c r="R120" s="27"/>
      <c r="S120" s="27"/>
      <c r="T120" s="27"/>
      <c r="U120" s="30"/>
      <c r="V120" s="40"/>
      <c r="W120" s="40"/>
      <c r="X120" s="30"/>
      <c r="Y120" s="5"/>
      <c r="Z120" s="18"/>
      <c r="AA120" s="46"/>
      <c r="AB120" s="46"/>
      <c r="AC120" s="5"/>
      <c r="AD120" s="5"/>
      <c r="AE120" s="5"/>
      <c r="AF120" s="5"/>
      <c r="AG120" s="5"/>
      <c r="AH120" s="5"/>
      <c r="AI120" s="5"/>
    </row>
    <row r="121" spans="1:35" s="28" customFormat="1" ht="12.75" x14ac:dyDescent="0.2">
      <c r="A121" s="77"/>
      <c r="B121" s="28" t="s">
        <v>86</v>
      </c>
      <c r="E121" s="80" t="s">
        <v>80</v>
      </c>
      <c r="F121" s="115">
        <f>J46</f>
        <v>1.3553216371475063</v>
      </c>
      <c r="G121" s="77"/>
      <c r="H121" s="77"/>
      <c r="I121" s="77"/>
      <c r="J121" s="77"/>
      <c r="K121" s="77"/>
      <c r="L121" s="30"/>
      <c r="M121" s="27"/>
      <c r="N121" s="27"/>
      <c r="O121" s="27"/>
      <c r="P121" s="27"/>
      <c r="Q121" s="27"/>
      <c r="R121" s="27"/>
      <c r="S121" s="27"/>
      <c r="T121" s="27"/>
      <c r="U121" s="30"/>
      <c r="V121" s="40"/>
      <c r="W121" s="40"/>
      <c r="X121" s="30"/>
      <c r="Y121" s="5"/>
      <c r="Z121" s="46"/>
      <c r="AA121" s="29"/>
      <c r="AB121" s="31"/>
      <c r="AC121" s="5"/>
      <c r="AD121" s="5"/>
      <c r="AE121" s="5"/>
      <c r="AF121" s="5"/>
      <c r="AG121" s="5"/>
      <c r="AH121" s="5"/>
      <c r="AI121" s="5"/>
    </row>
    <row r="122" spans="1:35" s="28" customFormat="1" ht="12.75" x14ac:dyDescent="0.2">
      <c r="A122" s="73"/>
      <c r="B122" s="80" t="s">
        <v>81</v>
      </c>
      <c r="C122" s="28" t="str">
        <f>[1]!xln(C123)</f>
        <v>3.8 × 12.7</v>
      </c>
      <c r="D122" s="77"/>
      <c r="E122" s="73"/>
      <c r="F122" s="73"/>
      <c r="G122" s="73"/>
      <c r="H122" s="73"/>
      <c r="I122" s="73"/>
      <c r="J122" s="73"/>
      <c r="K122" s="73"/>
      <c r="L122" s="30"/>
      <c r="M122" s="27"/>
      <c r="N122" s="27"/>
      <c r="O122" s="27"/>
      <c r="P122" s="27"/>
      <c r="Q122" s="27"/>
      <c r="R122" s="27"/>
      <c r="S122" s="27"/>
      <c r="T122" s="27"/>
      <c r="U122" s="30"/>
      <c r="V122" s="40"/>
      <c r="W122" s="40"/>
      <c r="X122" s="30"/>
      <c r="Y122" s="5"/>
      <c r="Z122" s="46"/>
      <c r="AA122" s="29"/>
      <c r="AB122" s="31"/>
      <c r="AC122" s="47"/>
      <c r="AD122" s="5"/>
      <c r="AE122" s="48"/>
      <c r="AF122" s="47"/>
      <c r="AG122" s="47"/>
      <c r="AH122" s="47"/>
      <c r="AI122" s="5"/>
    </row>
    <row r="123" spans="1:35" s="28" customFormat="1" ht="12.75" x14ac:dyDescent="0.2">
      <c r="A123" s="73"/>
      <c r="B123" s="76" t="s">
        <v>82</v>
      </c>
      <c r="C123" s="96">
        <f>C35*C19</f>
        <v>48.223350253807105</v>
      </c>
      <c r="D123" s="91" t="s">
        <v>106</v>
      </c>
      <c r="E123" s="73"/>
      <c r="F123" s="73"/>
      <c r="G123" s="73"/>
      <c r="H123" s="73"/>
      <c r="I123" s="73"/>
      <c r="J123" s="73"/>
      <c r="K123" s="73"/>
      <c r="L123" s="30"/>
      <c r="M123" s="27"/>
      <c r="N123" s="27"/>
      <c r="O123" s="27"/>
      <c r="P123" s="27"/>
      <c r="Q123" s="27"/>
      <c r="R123" s="27"/>
      <c r="S123" s="27"/>
      <c r="T123" s="27"/>
      <c r="U123" s="30"/>
      <c r="V123" s="40"/>
      <c r="X123" s="121">
        <v>1.5</v>
      </c>
      <c r="Y123" s="122">
        <v>1.4</v>
      </c>
      <c r="Z123" s="123">
        <v>1.3</v>
      </c>
      <c r="AA123" s="124">
        <v>1.2</v>
      </c>
      <c r="AB123" s="124">
        <v>1.1000000000000001</v>
      </c>
      <c r="AC123" s="123">
        <v>1</v>
      </c>
      <c r="AD123" s="47"/>
      <c r="AE123" s="47"/>
      <c r="AF123" s="28">
        <f>INDEX(X123:AC123,AF124)</f>
        <v>1.4</v>
      </c>
      <c r="AG123" s="28">
        <f>INDEX(X123:AC123,AG124)</f>
        <v>1.3</v>
      </c>
      <c r="AH123" s="47"/>
      <c r="AI123" s="23"/>
    </row>
    <row r="124" spans="1:35" s="28" customFormat="1" ht="12.75" x14ac:dyDescent="0.2">
      <c r="A124" s="79"/>
      <c r="B124" s="80"/>
      <c r="C124" s="81"/>
      <c r="D124" s="73"/>
      <c r="E124" s="73"/>
      <c r="F124" s="73"/>
      <c r="G124" s="73"/>
      <c r="H124" s="81"/>
      <c r="I124" s="73"/>
      <c r="J124" s="73"/>
      <c r="K124" s="73"/>
      <c r="L124" s="30"/>
      <c r="M124" s="27"/>
      <c r="N124" s="27"/>
      <c r="O124" s="27"/>
      <c r="P124" s="27"/>
      <c r="Q124" s="27"/>
      <c r="R124" s="27"/>
      <c r="S124" s="27"/>
      <c r="T124" s="27"/>
      <c r="U124" s="30"/>
      <c r="V124" s="40"/>
      <c r="W124" s="40"/>
      <c r="X124" s="30"/>
      <c r="Y124" s="23"/>
      <c r="Z124" s="50"/>
      <c r="AA124" s="29"/>
      <c r="AB124" s="31"/>
      <c r="AC124" s="51"/>
      <c r="AD124" s="51"/>
      <c r="AE124" s="51"/>
      <c r="AF124" s="28">
        <f>MATCH(AF128,X123:AC123,-1)</f>
        <v>2</v>
      </c>
      <c r="AG124" s="47">
        <f>AF124+1</f>
        <v>3</v>
      </c>
      <c r="AH124" s="51"/>
      <c r="AI124" s="23"/>
    </row>
    <row r="125" spans="1:35" s="28" customFormat="1" ht="12.75" x14ac:dyDescent="0.2">
      <c r="A125" s="79"/>
      <c r="B125" s="81" t="s">
        <v>87</v>
      </c>
      <c r="C125" s="79"/>
      <c r="D125" s="76"/>
      <c r="E125" s="73"/>
      <c r="F125" s="82"/>
      <c r="G125" s="73"/>
      <c r="H125" s="82"/>
      <c r="I125" s="77"/>
      <c r="J125" s="77"/>
      <c r="K125" s="73"/>
      <c r="L125" s="30"/>
      <c r="M125" s="27"/>
      <c r="N125" s="27"/>
      <c r="O125" s="27"/>
      <c r="P125" s="27"/>
      <c r="Q125" s="27"/>
      <c r="R125" s="27"/>
      <c r="S125" s="27"/>
      <c r="T125" s="27"/>
      <c r="U125" s="30"/>
      <c r="V125" s="40"/>
      <c r="W125" s="40"/>
      <c r="X125" s="5">
        <v>2.2999999999999998</v>
      </c>
      <c r="Y125" s="5">
        <v>2.1</v>
      </c>
      <c r="Z125" s="5">
        <v>1.9</v>
      </c>
      <c r="AA125" s="5">
        <v>1.72</v>
      </c>
      <c r="AB125" s="5">
        <v>1.53</v>
      </c>
      <c r="AC125" s="5">
        <v>1.34</v>
      </c>
      <c r="AD125" s="5"/>
      <c r="AE125" s="5"/>
      <c r="AF125" s="5">
        <f>INDEX(X125:AC125,AF124)</f>
        <v>2.1</v>
      </c>
      <c r="AG125" s="5">
        <f>INDEX(X125:AC125,AG124)</f>
        <v>1.9</v>
      </c>
      <c r="AH125" s="5"/>
      <c r="AI125" s="5"/>
    </row>
    <row r="126" spans="1:35" s="28" customFormat="1" ht="12.75" x14ac:dyDescent="0.2">
      <c r="A126" s="79"/>
      <c r="B126" s="80" t="s">
        <v>81</v>
      </c>
      <c r="C126" s="28" t="str">
        <f>[1]!xln(C127)</f>
        <v>3.8 × 8.63</v>
      </c>
      <c r="D126" s="83"/>
      <c r="E126" s="73"/>
      <c r="F126" s="82"/>
      <c r="G126" s="73"/>
      <c r="H126" s="82"/>
      <c r="I126" s="77"/>
      <c r="J126" s="77"/>
      <c r="K126" s="73"/>
      <c r="L126" s="30"/>
      <c r="M126" s="27"/>
      <c r="N126" s="27"/>
      <c r="O126" s="27"/>
      <c r="P126" s="27"/>
      <c r="Q126" s="27"/>
      <c r="R126" s="27"/>
      <c r="S126" s="27"/>
      <c r="T126" s="27"/>
      <c r="U126" s="30"/>
      <c r="V126" s="40"/>
      <c r="W126" s="40"/>
      <c r="X126" s="23">
        <v>-0.32</v>
      </c>
      <c r="Y126" s="23">
        <v>-0.32</v>
      </c>
      <c r="Z126" s="23">
        <v>-0.32</v>
      </c>
      <c r="AA126" s="23">
        <v>-0.32</v>
      </c>
      <c r="AB126" s="23">
        <v>-0.32</v>
      </c>
      <c r="AC126" s="23">
        <v>-0.32</v>
      </c>
      <c r="AD126" s="5"/>
      <c r="AE126" s="5"/>
      <c r="AF126" s="5">
        <f>INDEX(X126:AC126,AF124)</f>
        <v>-0.32</v>
      </c>
      <c r="AG126" s="5">
        <f>INDEX(X126:AC126,AG124)</f>
        <v>-0.32</v>
      </c>
      <c r="AH126" s="51"/>
      <c r="AI126" s="5"/>
    </row>
    <row r="127" spans="1:35" s="28" customFormat="1" ht="12.75" x14ac:dyDescent="0.2">
      <c r="A127" s="73"/>
      <c r="B127" s="73"/>
      <c r="C127" s="104">
        <f>C35*C23</f>
        <v>32.791878172588831</v>
      </c>
      <c r="D127" s="91" t="s">
        <v>106</v>
      </c>
      <c r="E127" s="73"/>
      <c r="F127" s="84"/>
      <c r="G127" s="73"/>
      <c r="H127" s="84"/>
      <c r="I127" s="77"/>
      <c r="J127" s="77"/>
      <c r="K127" s="73"/>
      <c r="L127" s="30"/>
      <c r="M127" s="27"/>
      <c r="N127" s="27"/>
      <c r="O127" s="27"/>
      <c r="P127" s="27"/>
      <c r="Q127" s="27"/>
      <c r="R127" s="27"/>
      <c r="S127" s="27"/>
      <c r="T127" s="27"/>
      <c r="U127" s="30"/>
      <c r="V127" s="40"/>
      <c r="W127" s="40"/>
      <c r="X127" s="30"/>
      <c r="Y127" s="5"/>
      <c r="Z127" s="5"/>
      <c r="AA127" s="5"/>
      <c r="AB127" s="5"/>
      <c r="AC127" s="5"/>
      <c r="AD127" s="18"/>
      <c r="AE127" s="18"/>
      <c r="AF127" s="18"/>
      <c r="AG127" s="18"/>
      <c r="AH127" s="51"/>
      <c r="AI127" s="5"/>
    </row>
    <row r="128" spans="1:35" s="28" customFormat="1" ht="12.75" x14ac:dyDescent="0.2">
      <c r="A128" s="79"/>
      <c r="B128" s="73"/>
      <c r="C128" s="83"/>
      <c r="D128" s="84"/>
      <c r="E128" s="73"/>
      <c r="F128" s="84"/>
      <c r="G128" s="73"/>
      <c r="H128" s="84"/>
      <c r="I128" s="77"/>
      <c r="J128" s="77"/>
      <c r="K128" s="73"/>
      <c r="L128" s="30"/>
      <c r="M128" s="27"/>
      <c r="N128" s="27"/>
      <c r="O128" s="27"/>
      <c r="P128" s="27"/>
      <c r="Q128" s="27"/>
      <c r="R128" s="27"/>
      <c r="S128" s="27"/>
      <c r="T128" s="27"/>
      <c r="U128" s="30"/>
      <c r="V128" s="40"/>
      <c r="W128" s="40"/>
      <c r="X128" s="30"/>
      <c r="Y128" s="5"/>
      <c r="Z128" s="5"/>
      <c r="AA128" s="5"/>
      <c r="AB128" s="5"/>
      <c r="AC128" s="5"/>
      <c r="AD128" s="18"/>
      <c r="AE128" s="18"/>
      <c r="AF128" s="49">
        <f>IF(F121&gt;1.5,1.5,F121)</f>
        <v>1.3553216371475063</v>
      </c>
      <c r="AG128" s="18"/>
      <c r="AH128" s="51"/>
      <c r="AI128" s="5"/>
    </row>
    <row r="129" spans="1:35" s="28" customFormat="1" ht="14.25" x14ac:dyDescent="0.25">
      <c r="A129" s="79"/>
      <c r="B129" s="120" t="s">
        <v>90</v>
      </c>
      <c r="C129" s="83"/>
      <c r="D129" s="84"/>
      <c r="E129" s="73"/>
      <c r="F129" s="84"/>
      <c r="G129" s="73"/>
      <c r="H129" s="84"/>
      <c r="I129" s="77"/>
      <c r="J129" s="77"/>
      <c r="K129" s="73"/>
      <c r="L129" s="30"/>
      <c r="M129" s="27"/>
      <c r="N129" s="27"/>
      <c r="O129" s="27"/>
      <c r="P129" s="27"/>
      <c r="Q129" s="27"/>
      <c r="R129" s="27"/>
      <c r="S129" s="27"/>
      <c r="T129" s="27"/>
      <c r="U129" s="30"/>
      <c r="V129" s="40"/>
      <c r="W129" s="40">
        <v>0</v>
      </c>
      <c r="X129" s="30"/>
      <c r="Y129" s="5"/>
      <c r="Z129" s="5"/>
      <c r="AA129" s="5"/>
      <c r="AB129" s="5"/>
      <c r="AC129" s="5"/>
      <c r="AD129" s="18">
        <v>0.5</v>
      </c>
      <c r="AE129" s="18"/>
      <c r="AF129" s="18"/>
      <c r="AG129" s="18"/>
      <c r="AH129" s="5"/>
      <c r="AI129" s="5"/>
    </row>
    <row r="130" spans="1:35" s="28" customFormat="1" ht="12.75" x14ac:dyDescent="0.2">
      <c r="A130" s="79"/>
      <c r="B130" s="79"/>
      <c r="C130" s="83"/>
      <c r="D130" s="84"/>
      <c r="E130" s="73"/>
      <c r="F130" s="84"/>
      <c r="G130" s="73"/>
      <c r="H130" s="84"/>
      <c r="I130" s="77"/>
      <c r="J130" s="77"/>
      <c r="K130" s="79"/>
      <c r="L130" s="30"/>
      <c r="M130" s="27"/>
      <c r="N130" s="27"/>
      <c r="O130" s="27"/>
      <c r="P130" s="27"/>
      <c r="Q130" s="27"/>
      <c r="R130" s="27"/>
      <c r="S130" s="27"/>
      <c r="T130" s="27"/>
      <c r="U130" s="30"/>
      <c r="V130" s="40"/>
      <c r="W130" s="40">
        <v>5</v>
      </c>
      <c r="X130" s="117">
        <f xml:space="preserve"> X$125*$W130^X$126</f>
        <v>1.3742237015008811</v>
      </c>
      <c r="Y130" s="117">
        <f xml:space="preserve"> Y125*W130^Y126</f>
        <v>1.2547259883268915</v>
      </c>
      <c r="Z130" s="117">
        <f xml:space="preserve"> Z125*W130^Z126</f>
        <v>1.1352282751529019</v>
      </c>
      <c r="AA130" s="117">
        <f xml:space="preserve"> AA125*W130^AA126</f>
        <v>1.0276803332963111</v>
      </c>
      <c r="AB130" s="117">
        <f xml:space="preserve"> AB125*W130^AB126</f>
        <v>0.91415750578102106</v>
      </c>
      <c r="AC130" s="117">
        <f xml:space="preserve"> AC125*W130^AC126</f>
        <v>0.80063467826573087</v>
      </c>
      <c r="AD130" s="18">
        <v>0.5</v>
      </c>
      <c r="AE130" s="18"/>
      <c r="AF130" s="18"/>
      <c r="AG130" s="18"/>
      <c r="AH130" s="5"/>
      <c r="AI130" s="5"/>
    </row>
    <row r="131" spans="1:35" s="28" customFormat="1" ht="12.75" x14ac:dyDescent="0.2">
      <c r="A131" s="79"/>
      <c r="B131" s="79"/>
      <c r="C131" s="83"/>
      <c r="D131" s="84"/>
      <c r="E131" s="73"/>
      <c r="F131" s="84"/>
      <c r="G131" s="73"/>
      <c r="H131" s="84"/>
      <c r="I131" s="77"/>
      <c r="J131" s="77"/>
      <c r="K131" s="79"/>
      <c r="L131" s="30"/>
      <c r="M131" s="27"/>
      <c r="N131" s="27"/>
      <c r="O131" s="27"/>
      <c r="P131" s="27"/>
      <c r="Q131" s="27"/>
      <c r="R131" s="27"/>
      <c r="S131" s="27"/>
      <c r="T131" s="27"/>
      <c r="U131" s="30"/>
      <c r="V131" s="40"/>
      <c r="W131" s="40">
        <v>7</v>
      </c>
      <c r="X131" s="117">
        <f t="shared" ref="X131:X151" si="0" xml:space="preserve"> X$125*$W131^X$126</f>
        <v>1.2339468771401767</v>
      </c>
      <c r="Y131" s="117">
        <f xml:space="preserve"> Y125*W131^Y126</f>
        <v>1.1266471486932048</v>
      </c>
      <c r="Z131" s="117">
        <f xml:space="preserve"> Z125*W131^Z126</f>
        <v>1.0193474202462329</v>
      </c>
      <c r="AA131" s="117">
        <f xml:space="preserve"> AA125*W131^AA126</f>
        <v>0.92277766464395816</v>
      </c>
      <c r="AB131" s="117">
        <f xml:space="preserve"> AB125*W131^AB126</f>
        <v>0.820842922619335</v>
      </c>
      <c r="AC131" s="117">
        <f xml:space="preserve"> AC125*W131^AC126</f>
        <v>0.71890818059471173</v>
      </c>
      <c r="AD131" s="18">
        <v>0.5</v>
      </c>
      <c r="AE131" s="40">
        <f>C123</f>
        <v>48.223350253807105</v>
      </c>
      <c r="AF131" s="117">
        <f xml:space="preserve"> AF125*AE131^AF126</f>
        <v>0.60754287695829023</v>
      </c>
      <c r="AG131" s="117">
        <f xml:space="preserve"> AG125*AE131^AG126</f>
        <v>0.54968165058131024</v>
      </c>
      <c r="AH131" s="5"/>
      <c r="AI131" s="5"/>
    </row>
    <row r="132" spans="1:35" s="28" customFormat="1" ht="12.75" x14ac:dyDescent="0.2">
      <c r="A132" s="73"/>
      <c r="B132" s="73"/>
      <c r="C132" s="73"/>
      <c r="D132" s="73"/>
      <c r="E132" s="73"/>
      <c r="F132" s="73"/>
      <c r="G132" s="73"/>
      <c r="H132" s="73"/>
      <c r="I132" s="73"/>
      <c r="J132" s="73"/>
      <c r="K132" s="73"/>
      <c r="L132" s="30"/>
      <c r="M132" s="27"/>
      <c r="N132" s="27"/>
      <c r="O132" s="27"/>
      <c r="P132" s="27"/>
      <c r="Q132" s="27"/>
      <c r="R132" s="27"/>
      <c r="S132" s="27"/>
      <c r="T132" s="27"/>
      <c r="U132" s="30"/>
      <c r="V132" s="40"/>
      <c r="W132" s="40">
        <v>9</v>
      </c>
      <c r="X132" s="117">
        <f t="shared" si="0"/>
        <v>1.138597518597833</v>
      </c>
      <c r="Y132" s="117">
        <f xml:space="preserve"> Y125*W132^Y126</f>
        <v>1.0395890387197606</v>
      </c>
      <c r="Z132" s="117">
        <f xml:space="preserve"> Z125*W132^Z126</f>
        <v>0.94058055884168812</v>
      </c>
      <c r="AA132" s="117">
        <f xml:space="preserve"> AA125*W132^AA126</f>
        <v>0.85147292695142296</v>
      </c>
      <c r="AB132" s="117">
        <f xml:space="preserve"> AB125*W132^AB126</f>
        <v>0.75741487106725425</v>
      </c>
      <c r="AC132" s="117">
        <f xml:space="preserve"> AC125*W132^AC126</f>
        <v>0.66335681518308542</v>
      </c>
      <c r="AD132" s="18">
        <v>0.5</v>
      </c>
      <c r="AE132" s="51"/>
      <c r="AF132" s="54">
        <f>(AF131-AG131)/(AF123-AG123)*(AF128-AG123)+AG131</f>
        <v>0.5816914282866803</v>
      </c>
      <c r="AG132" s="51"/>
      <c r="AH132" s="51"/>
      <c r="AI132" s="23"/>
    </row>
    <row r="133" spans="1:35" s="28" customFormat="1" ht="12.75" x14ac:dyDescent="0.2">
      <c r="A133" s="73"/>
      <c r="B133" s="73"/>
      <c r="C133" s="73"/>
      <c r="D133" s="73"/>
      <c r="E133" s="73"/>
      <c r="F133" s="73"/>
      <c r="G133" s="73"/>
      <c r="H133" s="73"/>
      <c r="I133" s="73"/>
      <c r="J133" s="73"/>
      <c r="K133" s="73"/>
      <c r="L133" s="30"/>
      <c r="M133" s="27"/>
      <c r="N133" s="27"/>
      <c r="O133" s="27"/>
      <c r="P133" s="27"/>
      <c r="Q133" s="27"/>
      <c r="R133" s="27"/>
      <c r="S133" s="27"/>
      <c r="T133" s="27"/>
      <c r="U133" s="30"/>
      <c r="V133" s="40"/>
      <c r="W133" s="40">
        <v>11</v>
      </c>
      <c r="X133" s="117">
        <f t="shared" si="0"/>
        <v>1.0677809704313193</v>
      </c>
      <c r="Y133" s="117">
        <f xml:space="preserve"> Y125*W133^Y126</f>
        <v>0.97493045126337852</v>
      </c>
      <c r="Z133" s="117">
        <f xml:space="preserve"> Z125*W133^Z126</f>
        <v>0.88207993209543756</v>
      </c>
      <c r="AA133" s="117">
        <f xml:space="preserve"> AA125*W133^AA126</f>
        <v>0.79851446484429089</v>
      </c>
      <c r="AB133" s="117">
        <f xml:space="preserve"> AB125*W133^AB126</f>
        <v>0.71030647163474714</v>
      </c>
      <c r="AC133" s="117">
        <f xml:space="preserve"> AC125*W133^AC126</f>
        <v>0.62209847842520338</v>
      </c>
      <c r="AD133" s="18">
        <v>0.5</v>
      </c>
      <c r="AE133" s="45"/>
      <c r="AF133" s="45"/>
      <c r="AG133" s="45"/>
      <c r="AH133" s="45"/>
      <c r="AI133" s="44"/>
    </row>
    <row r="134" spans="1:35" s="28" customFormat="1" ht="12.75" x14ac:dyDescent="0.2">
      <c r="A134" s="80"/>
      <c r="B134" s="77"/>
      <c r="C134" s="77"/>
      <c r="D134" s="85"/>
      <c r="E134" s="73"/>
      <c r="F134" s="73"/>
      <c r="G134" s="73"/>
      <c r="H134" s="73"/>
      <c r="I134" s="73"/>
      <c r="J134" s="73"/>
      <c r="K134" s="73"/>
      <c r="L134" s="30"/>
      <c r="M134" s="27"/>
      <c r="N134" s="27"/>
      <c r="O134" s="27"/>
      <c r="P134" s="27"/>
      <c r="Q134" s="27"/>
      <c r="R134" s="27"/>
      <c r="S134" s="27"/>
      <c r="T134" s="27"/>
      <c r="U134" s="30"/>
      <c r="V134" s="40"/>
      <c r="W134" s="40">
        <v>13</v>
      </c>
      <c r="X134" s="117">
        <f t="shared" si="0"/>
        <v>1.0121991383646831</v>
      </c>
      <c r="Y134" s="117">
        <f xml:space="preserve"> Y125*W134^Y126</f>
        <v>0.92418182198514554</v>
      </c>
      <c r="Z134" s="117">
        <f xml:space="preserve"> Z125*W134^Z126</f>
        <v>0.83616450560560784</v>
      </c>
      <c r="AA134" s="117">
        <f xml:space="preserve"> AA125*W134^AA126</f>
        <v>0.75694892086402399</v>
      </c>
      <c r="AB134" s="117">
        <f xml:space="preserve"> AB125*W134^AB126</f>
        <v>0.67333247030346322</v>
      </c>
      <c r="AC134" s="117">
        <f xml:space="preserve"> AC125*W134^AC126</f>
        <v>0.58971601974290244</v>
      </c>
      <c r="AD134" s="18">
        <v>0.5</v>
      </c>
      <c r="AE134" s="45"/>
      <c r="AF134" s="45"/>
      <c r="AG134" s="45"/>
      <c r="AH134" s="45"/>
      <c r="AI134" s="44"/>
    </row>
    <row r="135" spans="1:35" s="28" customFormat="1" ht="12.75" x14ac:dyDescent="0.2">
      <c r="A135" s="76"/>
      <c r="B135" s="86"/>
      <c r="C135" s="87"/>
      <c r="D135" s="88"/>
      <c r="E135" s="73"/>
      <c r="F135" s="76"/>
      <c r="G135" s="78"/>
      <c r="H135" s="73"/>
      <c r="I135" s="77"/>
      <c r="J135" s="73"/>
      <c r="K135" s="73"/>
      <c r="L135" s="30"/>
      <c r="M135" s="27"/>
      <c r="N135" s="27"/>
      <c r="O135" s="27"/>
      <c r="P135" s="27"/>
      <c r="Q135" s="27"/>
      <c r="R135" s="27"/>
      <c r="S135" s="27"/>
      <c r="T135" s="27"/>
      <c r="U135" s="30"/>
      <c r="V135" s="40"/>
      <c r="W135" s="40">
        <v>15</v>
      </c>
      <c r="X135" s="117">
        <f t="shared" si="0"/>
        <v>0.96689348318850965</v>
      </c>
      <c r="Y135" s="117">
        <f xml:space="preserve"> Y125*W135^Y126</f>
        <v>0.88281578899820456</v>
      </c>
      <c r="Z135" s="117">
        <f xml:space="preserve"> Z125*W135^Z126</f>
        <v>0.79873809480789937</v>
      </c>
      <c r="AA135" s="117">
        <f xml:space="preserve"> AA125*W135^AA126</f>
        <v>0.72306817003662471</v>
      </c>
      <c r="AB135" s="117">
        <f xml:space="preserve"> AB125*W135^AB126</f>
        <v>0.64319436055583479</v>
      </c>
      <c r="AC135" s="117">
        <f xml:space="preserve"> AC125*W135^AC126</f>
        <v>0.56332055107504486</v>
      </c>
      <c r="AD135" s="18">
        <v>0.5</v>
      </c>
      <c r="AE135" s="45"/>
      <c r="AF135" s="45"/>
      <c r="AG135" s="45"/>
      <c r="AH135" s="45"/>
      <c r="AI135" s="44"/>
    </row>
    <row r="136" spans="1:35" s="28" customFormat="1" ht="12.75" x14ac:dyDescent="0.2">
      <c r="A136" s="80"/>
      <c r="B136" s="77"/>
      <c r="C136" s="77"/>
      <c r="D136" s="88"/>
      <c r="E136" s="73"/>
      <c r="F136" s="76"/>
      <c r="G136" s="73"/>
      <c r="H136" s="73"/>
      <c r="I136" s="77"/>
      <c r="J136" s="81"/>
      <c r="K136" s="81"/>
      <c r="L136" s="30"/>
      <c r="M136" s="27"/>
      <c r="N136" s="27"/>
      <c r="O136" s="27"/>
      <c r="P136" s="27"/>
      <c r="Q136" s="27"/>
      <c r="R136" s="27"/>
      <c r="S136" s="27"/>
      <c r="T136" s="27"/>
      <c r="U136" s="30"/>
      <c r="V136" s="40"/>
      <c r="W136" s="40">
        <v>17</v>
      </c>
      <c r="X136" s="117">
        <f t="shared" si="0"/>
        <v>0.92893255055070945</v>
      </c>
      <c r="Y136" s="117">
        <f xml:space="preserve"> Y125*W136^Y126</f>
        <v>0.84815580702456095</v>
      </c>
      <c r="Z136" s="117">
        <f xml:space="preserve"> Z125*W136^Z126</f>
        <v>0.76737906349841212</v>
      </c>
      <c r="AA136" s="117">
        <f xml:space="preserve"> AA125*W136^AA126</f>
        <v>0.69467999432487837</v>
      </c>
      <c r="AB136" s="117">
        <f xml:space="preserve"> AB125*W136^AB126</f>
        <v>0.61794208797503725</v>
      </c>
      <c r="AC136" s="117">
        <f xml:space="preserve"> AC125*W136^AC126</f>
        <v>0.54120418162519601</v>
      </c>
      <c r="AD136" s="18">
        <v>0.5</v>
      </c>
      <c r="AE136" s="45"/>
      <c r="AF136" s="45"/>
      <c r="AG136" s="45"/>
      <c r="AH136" s="45"/>
      <c r="AI136" s="44"/>
    </row>
    <row r="137" spans="1:35" s="28" customFormat="1" ht="12.75" x14ac:dyDescent="0.2">
      <c r="A137" s="80"/>
      <c r="B137" s="89"/>
      <c r="C137" s="73"/>
      <c r="D137" s="73"/>
      <c r="E137" s="73"/>
      <c r="F137" s="80"/>
      <c r="G137" s="81"/>
      <c r="H137" s="73"/>
      <c r="I137" s="77"/>
      <c r="J137" s="81"/>
      <c r="K137" s="81"/>
      <c r="L137" s="30"/>
      <c r="M137" s="27"/>
      <c r="N137" s="27"/>
      <c r="O137" s="27"/>
      <c r="P137" s="27"/>
      <c r="Q137" s="27"/>
      <c r="R137" s="27"/>
      <c r="S137" s="27"/>
      <c r="T137" s="27"/>
      <c r="U137" s="30"/>
      <c r="V137" s="40"/>
      <c r="W137" s="40">
        <v>21</v>
      </c>
      <c r="X137" s="117">
        <f t="shared" si="0"/>
        <v>0.86819576230899731</v>
      </c>
      <c r="Y137" s="117">
        <f xml:space="preserve"> Y125*W137^Y126</f>
        <v>0.79270047862995408</v>
      </c>
      <c r="Z137" s="117">
        <f xml:space="preserve"> Z125*W137^Z126</f>
        <v>0.71720519495091084</v>
      </c>
      <c r="AA137" s="117">
        <f xml:space="preserve"> AA125*W137^AA126</f>
        <v>0.64925943963977195</v>
      </c>
      <c r="AB137" s="117">
        <f xml:space="preserve"> AB125*W137^AB126</f>
        <v>0.57753892014468089</v>
      </c>
      <c r="AC137" s="117">
        <f xml:space="preserve"> AC125*W137^AC126</f>
        <v>0.50581840064958983</v>
      </c>
      <c r="AD137" s="18">
        <v>0.5</v>
      </c>
      <c r="AE137" s="40">
        <f>C127</f>
        <v>32.791878172588831</v>
      </c>
      <c r="AF137" s="117">
        <f xml:space="preserve"> AF125*AE137^AF126</f>
        <v>0.68734389774871341</v>
      </c>
      <c r="AG137" s="117">
        <f xml:space="preserve"> AG125*AE137^AG126</f>
        <v>0.62188257415359782</v>
      </c>
      <c r="AH137" s="45"/>
      <c r="AI137" s="44"/>
    </row>
    <row r="138" spans="1:35" s="28" customFormat="1" ht="12.75" x14ac:dyDescent="0.2">
      <c r="A138" s="73"/>
      <c r="B138" s="77"/>
      <c r="C138" s="77"/>
      <c r="D138" s="90"/>
      <c r="E138" s="73"/>
      <c r="F138" s="80"/>
      <c r="G138" s="77"/>
      <c r="H138" s="77"/>
      <c r="I138" s="73"/>
      <c r="J138" s="73"/>
      <c r="K138" s="73"/>
      <c r="L138" s="30"/>
      <c r="M138" s="27"/>
      <c r="N138" s="27"/>
      <c r="O138" s="27"/>
      <c r="P138" s="27"/>
      <c r="Q138" s="27"/>
      <c r="R138" s="27"/>
      <c r="S138" s="27"/>
      <c r="T138" s="27"/>
      <c r="U138" s="30"/>
      <c r="V138" s="40"/>
      <c r="W138" s="40">
        <v>25</v>
      </c>
      <c r="X138" s="117">
        <f t="shared" si="0"/>
        <v>0.82108294859425357</v>
      </c>
      <c r="Y138" s="117">
        <f xml:space="preserve"> Y125*W138^Y126</f>
        <v>0.74968443132518814</v>
      </c>
      <c r="Z138" s="117">
        <f xml:space="preserve"> Z125*W138^Z126</f>
        <v>0.67828591405612249</v>
      </c>
      <c r="AA138" s="117">
        <f xml:space="preserve"> AA125*W138^AA126</f>
        <v>0.61402724851396351</v>
      </c>
      <c r="AB138" s="117">
        <f xml:space="preserve"> AB125*W138^AB126</f>
        <v>0.54619865710835136</v>
      </c>
      <c r="AC138" s="117">
        <f xml:space="preserve"> AC125*W138^AC126</f>
        <v>0.4783700657027391</v>
      </c>
      <c r="AD138" s="18">
        <v>0.5</v>
      </c>
      <c r="AE138" s="43"/>
      <c r="AF138" s="54">
        <f>(AF137-AG137)/(AF123-AG123)*(AF128-AG123)+AG137</f>
        <v>0.65809685006484264</v>
      </c>
      <c r="AG138" s="42"/>
      <c r="AH138" s="5"/>
      <c r="AI138" s="5"/>
    </row>
    <row r="139" spans="1:35" s="28" customFormat="1" ht="12.75" x14ac:dyDescent="0.2">
      <c r="A139" s="73"/>
      <c r="B139" s="73"/>
      <c r="C139" s="73"/>
      <c r="D139" s="73"/>
      <c r="E139" s="73"/>
      <c r="F139" s="80"/>
      <c r="G139" s="77"/>
      <c r="H139" s="77"/>
      <c r="I139" s="73"/>
      <c r="J139" s="73"/>
      <c r="K139" s="73"/>
      <c r="L139" s="30"/>
      <c r="M139" s="27"/>
      <c r="N139" s="27"/>
      <c r="O139" s="27"/>
      <c r="P139" s="27"/>
      <c r="Q139" s="27"/>
      <c r="R139" s="27"/>
      <c r="S139" s="27"/>
      <c r="T139" s="27"/>
      <c r="U139" s="30"/>
      <c r="V139" s="40"/>
      <c r="W139" s="40">
        <v>29</v>
      </c>
      <c r="X139" s="117">
        <f t="shared" si="0"/>
        <v>0.78299768258241931</v>
      </c>
      <c r="Y139" s="117">
        <f xml:space="preserve"> Y125*W139^Y126</f>
        <v>0.71491092757525243</v>
      </c>
      <c r="Z139" s="117">
        <f xml:space="preserve"> Z125*W139^Z126</f>
        <v>0.64682417256808555</v>
      </c>
      <c r="AA139" s="117">
        <f xml:space="preserve"> AA125*W139^AA126</f>
        <v>0.5855460930616353</v>
      </c>
      <c r="AB139" s="117">
        <f xml:space="preserve"> AB125*W139^AB126</f>
        <v>0.52086367580482684</v>
      </c>
      <c r="AC139" s="117">
        <f xml:space="preserve"> AC125*W139^AC126</f>
        <v>0.45618125854801828</v>
      </c>
      <c r="AD139" s="18">
        <v>0.5</v>
      </c>
      <c r="AE139" s="41"/>
      <c r="AF139" s="41"/>
      <c r="AG139" s="41"/>
      <c r="AH139" s="41"/>
      <c r="AI139" s="41"/>
    </row>
    <row r="140" spans="1:35" s="28" customFormat="1" ht="12.75" x14ac:dyDescent="0.2">
      <c r="A140" s="73"/>
      <c r="B140" s="91"/>
      <c r="C140" s="77"/>
      <c r="D140" s="90"/>
      <c r="E140" s="73"/>
      <c r="F140" s="73"/>
      <c r="G140" s="73"/>
      <c r="H140" s="73"/>
      <c r="I140" s="73"/>
      <c r="J140" s="73"/>
      <c r="K140" s="73"/>
      <c r="L140" s="30"/>
      <c r="M140" s="27"/>
      <c r="N140" s="27"/>
      <c r="O140" s="27"/>
      <c r="P140" s="27"/>
      <c r="Q140" s="27"/>
      <c r="R140" s="27"/>
      <c r="S140" s="27"/>
      <c r="T140" s="27"/>
      <c r="U140" s="30"/>
      <c r="V140" s="40"/>
      <c r="W140" s="40">
        <v>33</v>
      </c>
      <c r="X140" s="117">
        <f t="shared" si="0"/>
        <v>0.75128267738007959</v>
      </c>
      <c r="Y140" s="117">
        <f xml:space="preserve"> Y125*W140^Y126</f>
        <v>0.6859537489122467</v>
      </c>
      <c r="Z140" s="117">
        <f xml:space="preserve"> Z125*W140^Z126</f>
        <v>0.62062482044441358</v>
      </c>
      <c r="AA140" s="117">
        <f xml:space="preserve"> AA125*W140^AA126</f>
        <v>0.56182878482336396</v>
      </c>
      <c r="AB140" s="117">
        <f xml:space="preserve"> AB125*W140^AB126</f>
        <v>0.49976630277892259</v>
      </c>
      <c r="AC140" s="117">
        <f xml:space="preserve"> AC125*W140^AC126</f>
        <v>0.43770382073448122</v>
      </c>
      <c r="AD140" s="18">
        <v>0.5</v>
      </c>
      <c r="AE140" s="41"/>
      <c r="AF140" s="49">
        <f>AE131</f>
        <v>48.223350253807105</v>
      </c>
      <c r="AG140" s="49">
        <v>0</v>
      </c>
      <c r="AH140" s="41"/>
      <c r="AI140" s="41"/>
    </row>
    <row r="141" spans="1:35" s="28" customFormat="1" ht="12.75" x14ac:dyDescent="0.2">
      <c r="A141" s="73"/>
      <c r="B141" s="73"/>
      <c r="C141" s="73"/>
      <c r="D141" s="73"/>
      <c r="E141" s="73"/>
      <c r="F141" s="73"/>
      <c r="G141" s="73"/>
      <c r="H141" s="73"/>
      <c r="I141" s="73"/>
      <c r="J141" s="73"/>
      <c r="K141" s="73"/>
      <c r="L141" s="30"/>
      <c r="M141" s="27"/>
      <c r="N141" s="27"/>
      <c r="O141" s="27"/>
      <c r="P141" s="27"/>
      <c r="Q141" s="27"/>
      <c r="R141" s="27"/>
      <c r="S141" s="27"/>
      <c r="T141" s="27"/>
      <c r="U141" s="30"/>
      <c r="V141" s="40"/>
      <c r="W141" s="40">
        <v>37</v>
      </c>
      <c r="X141" s="117">
        <f t="shared" si="0"/>
        <v>0.72427464898020477</v>
      </c>
      <c r="Y141" s="117">
        <f xml:space="preserve"> Y125*W141^Y126</f>
        <v>0.66129424472105669</v>
      </c>
      <c r="Z141" s="117">
        <f xml:space="preserve"> Z125*W141^Z126</f>
        <v>0.59831384046190828</v>
      </c>
      <c r="AA141" s="117">
        <f xml:space="preserve"> AA125*W141^AA126</f>
        <v>0.54163147662867495</v>
      </c>
      <c r="AB141" s="117">
        <f xml:space="preserve"> AB125*W141^AB126</f>
        <v>0.48180009258248413</v>
      </c>
      <c r="AC141" s="117">
        <f xml:space="preserve"> AC125*W141^AC126</f>
        <v>0.42196870853629331</v>
      </c>
      <c r="AD141" s="18">
        <v>0.5</v>
      </c>
      <c r="AE141" s="41"/>
      <c r="AF141" s="49">
        <f>AF140</f>
        <v>48.223350253807105</v>
      </c>
      <c r="AG141" s="49">
        <f>AF132</f>
        <v>0.5816914282866803</v>
      </c>
      <c r="AH141" s="41"/>
      <c r="AI141" s="41"/>
    </row>
    <row r="142" spans="1:35" s="28" customFormat="1" ht="12.75" x14ac:dyDescent="0.2">
      <c r="A142" s="80"/>
      <c r="B142" s="76"/>
      <c r="C142" s="73"/>
      <c r="D142" s="73"/>
      <c r="E142" s="73"/>
      <c r="F142" s="73"/>
      <c r="G142" s="73"/>
      <c r="H142" s="73"/>
      <c r="I142" s="73"/>
      <c r="J142" s="87"/>
      <c r="K142" s="73"/>
      <c r="L142" s="30"/>
      <c r="M142" s="27"/>
      <c r="N142" s="27"/>
      <c r="O142" s="27"/>
      <c r="P142" s="27"/>
      <c r="Q142" s="27"/>
      <c r="R142" s="27"/>
      <c r="S142" s="27"/>
      <c r="T142" s="27"/>
      <c r="U142" s="30"/>
      <c r="V142" s="40"/>
      <c r="W142" s="40">
        <v>41</v>
      </c>
      <c r="X142" s="117">
        <f t="shared" si="0"/>
        <v>0.70086924312612331</v>
      </c>
      <c r="Y142" s="117">
        <f xml:space="preserve"> Y125*W142^Y126</f>
        <v>0.63992409154993879</v>
      </c>
      <c r="Z142" s="117">
        <f xml:space="preserve"> Z125*W142^Z126</f>
        <v>0.57897893997375405</v>
      </c>
      <c r="AA142" s="117">
        <f xml:space="preserve"> AA125*W142^AA126</f>
        <v>0.52412830355518791</v>
      </c>
      <c r="AB142" s="117">
        <f xml:space="preserve"> AB125*W142^AB126</f>
        <v>0.46623040955781253</v>
      </c>
      <c r="AC142" s="117">
        <f xml:space="preserve"> AC125*W142^AC126</f>
        <v>0.40833251556043715</v>
      </c>
      <c r="AD142" s="18">
        <v>0.5</v>
      </c>
      <c r="AE142" s="41"/>
      <c r="AF142" s="49">
        <v>0</v>
      </c>
      <c r="AG142" s="49">
        <f>AG141</f>
        <v>0.5816914282866803</v>
      </c>
      <c r="AH142" s="41"/>
      <c r="AI142" s="41"/>
    </row>
    <row r="143" spans="1:35" s="28" customFormat="1" ht="12.75" x14ac:dyDescent="0.2">
      <c r="A143" s="73"/>
      <c r="B143" s="92"/>
      <c r="C143" s="93"/>
      <c r="D143" s="88"/>
      <c r="E143" s="73"/>
      <c r="F143" s="73"/>
      <c r="G143" s="73"/>
      <c r="H143" s="73"/>
      <c r="I143" s="73"/>
      <c r="J143" s="73"/>
      <c r="K143" s="73"/>
      <c r="L143" s="30"/>
      <c r="M143" s="27"/>
      <c r="N143" s="27"/>
      <c r="O143" s="27"/>
      <c r="P143" s="27"/>
      <c r="Q143" s="27"/>
      <c r="R143" s="27"/>
      <c r="S143" s="27"/>
      <c r="T143" s="27"/>
      <c r="U143" s="30"/>
      <c r="V143" s="40"/>
      <c r="W143" s="40">
        <v>45</v>
      </c>
      <c r="X143" s="117">
        <f t="shared" si="0"/>
        <v>0.68029899849010123</v>
      </c>
      <c r="Y143" s="117">
        <f xml:space="preserve"> Y125*W143^Y126</f>
        <v>0.62114256383878808</v>
      </c>
      <c r="Z143" s="117">
        <f xml:space="preserve"> Z125*W143^Z126</f>
        <v>0.56198612918747493</v>
      </c>
      <c r="AA143" s="117">
        <f xml:space="preserve"> AA125*W143^AA126</f>
        <v>0.50874533800129307</v>
      </c>
      <c r="AB143" s="117">
        <f xml:space="preserve"> AB125*W143^AB126</f>
        <v>0.45254672508254562</v>
      </c>
      <c r="AC143" s="117">
        <f xml:space="preserve"> AC125*W143^AC126</f>
        <v>0.39634811216379812</v>
      </c>
      <c r="AD143" s="18">
        <v>0.5</v>
      </c>
      <c r="AE143" s="41"/>
      <c r="AF143" s="49"/>
      <c r="AG143" s="49"/>
      <c r="AH143" s="41"/>
      <c r="AI143" s="41"/>
    </row>
    <row r="144" spans="1:35" s="28" customFormat="1" ht="12.75" x14ac:dyDescent="0.2">
      <c r="A144" s="73"/>
      <c r="B144" s="76"/>
      <c r="C144" s="78"/>
      <c r="D144" s="73"/>
      <c r="E144" s="73"/>
      <c r="F144" s="73"/>
      <c r="G144" s="73"/>
      <c r="H144" s="73"/>
      <c r="I144" s="73"/>
      <c r="J144" s="83"/>
      <c r="K144" s="73"/>
      <c r="L144" s="30"/>
      <c r="M144" s="27"/>
      <c r="N144" s="27"/>
      <c r="O144" s="27"/>
      <c r="P144" s="27"/>
      <c r="Q144" s="27"/>
      <c r="R144" s="27"/>
      <c r="S144" s="27"/>
      <c r="T144" s="27"/>
      <c r="U144" s="30"/>
      <c r="V144" s="40"/>
      <c r="W144" s="40">
        <v>49</v>
      </c>
      <c r="X144" s="117">
        <f t="shared" si="0"/>
        <v>0.6620108241756496</v>
      </c>
      <c r="Y144" s="117">
        <f xml:space="preserve"> Y125*W144^Y126</f>
        <v>0.60444466555168008</v>
      </c>
      <c r="Z144" s="117">
        <f xml:space="preserve"> Z125*W144^Z126</f>
        <v>0.54687850692771056</v>
      </c>
      <c r="AA144" s="117">
        <f xml:space="preserve"> AA125*W144^AA126</f>
        <v>0.49506896416613799</v>
      </c>
      <c r="AB144" s="117">
        <f xml:space="preserve"> AB125*W144^AB126</f>
        <v>0.44038111347336695</v>
      </c>
      <c r="AC144" s="117">
        <f xml:space="preserve"> AC125*W144^AC126</f>
        <v>0.3856932627805959</v>
      </c>
      <c r="AD144" s="18">
        <v>0.5</v>
      </c>
      <c r="AE144" s="5"/>
      <c r="AF144" s="49">
        <f>AE137</f>
        <v>32.791878172588831</v>
      </c>
      <c r="AG144" s="49">
        <v>0</v>
      </c>
      <c r="AH144" s="5"/>
      <c r="AI144" s="5"/>
    </row>
    <row r="145" spans="1:35" s="28" customFormat="1" ht="12.75" x14ac:dyDescent="0.2">
      <c r="A145" s="80"/>
      <c r="B145" s="89"/>
      <c r="C145" s="73"/>
      <c r="D145" s="73"/>
      <c r="E145" s="73"/>
      <c r="F145" s="80"/>
      <c r="G145" s="89"/>
      <c r="H145" s="73"/>
      <c r="I145" s="73"/>
      <c r="J145" s="73"/>
      <c r="K145" s="73"/>
      <c r="L145" s="30"/>
      <c r="M145" s="27"/>
      <c r="N145" s="27"/>
      <c r="O145" s="27"/>
      <c r="P145" s="27"/>
      <c r="Q145" s="27"/>
      <c r="R145" s="27"/>
      <c r="S145" s="27"/>
      <c r="T145" s="27"/>
      <c r="U145" s="30"/>
      <c r="V145" s="40"/>
      <c r="W145" s="40">
        <v>53</v>
      </c>
      <c r="X145" s="117">
        <f t="shared" si="0"/>
        <v>0.64559410739347756</v>
      </c>
      <c r="Y145" s="117">
        <f xml:space="preserve"> Y125*W145^Y126</f>
        <v>0.58945548935926229</v>
      </c>
      <c r="Z145" s="117">
        <f xml:space="preserve"> Z125*W145^Z126</f>
        <v>0.53331687132504668</v>
      </c>
      <c r="AA145" s="117">
        <f xml:space="preserve"> AA125*W145^AA126</f>
        <v>0.48279211509425285</v>
      </c>
      <c r="AB145" s="117">
        <f xml:space="preserve"> AB125*W145^AB126</f>
        <v>0.42946042796174821</v>
      </c>
      <c r="AC145" s="117">
        <f xml:space="preserve"> AC125*W145^AC126</f>
        <v>0.37612874082924352</v>
      </c>
      <c r="AD145" s="18">
        <v>0.5</v>
      </c>
      <c r="AE145" s="5"/>
      <c r="AF145" s="49">
        <f>AF144</f>
        <v>32.791878172588831</v>
      </c>
      <c r="AG145" s="49">
        <f>AF138</f>
        <v>0.65809685006484264</v>
      </c>
      <c r="AH145" s="5"/>
      <c r="AI145" s="51"/>
    </row>
    <row r="146" spans="1:35" s="28" customFormat="1" ht="12.75" x14ac:dyDescent="0.2">
      <c r="A146" s="73"/>
      <c r="B146" s="94"/>
      <c r="C146" s="93"/>
      <c r="D146" s="88"/>
      <c r="E146" s="87"/>
      <c r="F146" s="73"/>
      <c r="G146" s="91"/>
      <c r="H146" s="77"/>
      <c r="I146" s="73"/>
      <c r="J146" s="73"/>
      <c r="K146" s="73"/>
      <c r="L146" s="30"/>
      <c r="M146" s="27"/>
      <c r="N146" s="27"/>
      <c r="O146" s="27"/>
      <c r="P146" s="27"/>
      <c r="Q146" s="27"/>
      <c r="R146" s="27"/>
      <c r="S146" s="27"/>
      <c r="T146" s="27"/>
      <c r="U146" s="30"/>
      <c r="V146" s="40"/>
      <c r="W146" s="40">
        <v>60</v>
      </c>
      <c r="X146" s="117">
        <f t="shared" si="0"/>
        <v>0.62046806825446799</v>
      </c>
      <c r="Y146" s="117">
        <f xml:space="preserve"> Y125*W146^Y126</f>
        <v>0.56651432318886219</v>
      </c>
      <c r="Z146" s="117">
        <f xml:space="preserve"> Z125*W146^Z126</f>
        <v>0.51256057812325617</v>
      </c>
      <c r="AA146" s="117">
        <f xml:space="preserve"> AA125*W146^AA126</f>
        <v>0.4640022075642109</v>
      </c>
      <c r="AB146" s="117">
        <f xml:space="preserve"> AB125*W146^AB126</f>
        <v>0.41274614975188528</v>
      </c>
      <c r="AC146" s="117">
        <f xml:space="preserve"> AC125*W146^AC126</f>
        <v>0.36149009193955967</v>
      </c>
      <c r="AD146" s="18">
        <v>0.5</v>
      </c>
      <c r="AE146" s="5"/>
      <c r="AF146" s="49">
        <v>0</v>
      </c>
      <c r="AG146" s="49">
        <f>AG145</f>
        <v>0.65809685006484264</v>
      </c>
      <c r="AH146" s="5"/>
      <c r="AI146" s="51"/>
    </row>
    <row r="147" spans="1:35" s="28" customFormat="1" ht="12.75" x14ac:dyDescent="0.2">
      <c r="A147" s="73"/>
      <c r="B147" s="76"/>
      <c r="C147" s="93"/>
      <c r="D147" s="73"/>
      <c r="E147" s="73"/>
      <c r="F147" s="73"/>
      <c r="G147" s="73"/>
      <c r="H147" s="73"/>
      <c r="I147" s="73"/>
      <c r="J147" s="73"/>
      <c r="K147" s="73"/>
      <c r="L147" s="30"/>
      <c r="M147" s="27"/>
      <c r="N147" s="27"/>
      <c r="O147" s="27"/>
      <c r="P147" s="27"/>
      <c r="Q147" s="27"/>
      <c r="R147" s="27"/>
      <c r="S147" s="27"/>
      <c r="T147" s="27"/>
      <c r="U147" s="30"/>
      <c r="V147" s="40"/>
      <c r="W147" s="40">
        <v>67</v>
      </c>
      <c r="X147" s="117">
        <f t="shared" si="0"/>
        <v>0.59894080111790404</v>
      </c>
      <c r="Y147" s="117">
        <f xml:space="preserve"> Y125*W147^Y126</f>
        <v>0.54685899232504287</v>
      </c>
      <c r="Z147" s="117">
        <f xml:space="preserve"> Z125*W147^Z126</f>
        <v>0.49477718353218164</v>
      </c>
      <c r="AA147" s="117">
        <f xml:space="preserve"> AA125*W147^AA126</f>
        <v>0.44790355561860656</v>
      </c>
      <c r="AB147" s="117">
        <f xml:space="preserve"> AB125*W147^AB126</f>
        <v>0.39842583726538838</v>
      </c>
      <c r="AC147" s="117">
        <f xml:space="preserve"> AC125*W147^AC126</f>
        <v>0.34894811891217026</v>
      </c>
      <c r="AD147" s="18">
        <v>0.5</v>
      </c>
      <c r="AE147" s="5"/>
      <c r="AF147" s="5"/>
      <c r="AG147" s="5"/>
      <c r="AH147" s="5"/>
      <c r="AI147" s="51"/>
    </row>
    <row r="148" spans="1:35" s="28" customFormat="1" ht="12.75" x14ac:dyDescent="0.2">
      <c r="A148" s="80"/>
      <c r="B148" s="76"/>
      <c r="C148" s="95"/>
      <c r="D148" s="73"/>
      <c r="E148" s="73"/>
      <c r="F148" s="80"/>
      <c r="G148" s="89"/>
      <c r="H148" s="73"/>
      <c r="I148" s="73"/>
      <c r="J148" s="73"/>
      <c r="K148" s="73"/>
      <c r="L148" s="30"/>
      <c r="M148" s="27"/>
      <c r="N148" s="27"/>
      <c r="O148" s="27"/>
      <c r="P148" s="27"/>
      <c r="Q148" s="27"/>
      <c r="R148" s="27"/>
      <c r="S148" s="27"/>
      <c r="T148" s="27"/>
      <c r="U148" s="30"/>
      <c r="V148" s="40"/>
      <c r="W148" s="40">
        <v>74</v>
      </c>
      <c r="X148" s="117">
        <f t="shared" si="0"/>
        <v>0.58019460439983916</v>
      </c>
      <c r="Y148" s="117">
        <f xml:space="preserve"> Y125*W148^Y126</f>
        <v>0.52974289966941845</v>
      </c>
      <c r="Z148" s="117">
        <f xml:space="preserve"> Z125*W148^Z126</f>
        <v>0.47929119493899758</v>
      </c>
      <c r="AA148" s="117">
        <f xml:space="preserve"> AA125*W148^AA126</f>
        <v>0.43388466068161885</v>
      </c>
      <c r="AB148" s="117">
        <f xml:space="preserve"> AB125*W148^AB126</f>
        <v>0.38595554118771913</v>
      </c>
      <c r="AC148" s="117">
        <f xml:space="preserve"> AC125*W148^AC126</f>
        <v>0.33802642169381936</v>
      </c>
      <c r="AD148" s="18">
        <v>0.5</v>
      </c>
      <c r="AE148" s="5"/>
      <c r="AF148" s="5"/>
      <c r="AG148" s="5"/>
      <c r="AH148" s="5"/>
      <c r="AI148" s="51"/>
    </row>
    <row r="149" spans="1:35" s="28" customFormat="1" ht="12.75" x14ac:dyDescent="0.2">
      <c r="A149" s="73"/>
      <c r="B149" s="28" t="s">
        <v>86</v>
      </c>
      <c r="C149" s="96"/>
      <c r="D149" s="88"/>
      <c r="E149" s="83"/>
      <c r="F149" s="73"/>
      <c r="G149" s="96"/>
      <c r="H149" s="77"/>
      <c r="I149" s="97"/>
      <c r="J149" s="73"/>
      <c r="K149" s="73"/>
      <c r="L149" s="30"/>
      <c r="M149" s="27"/>
      <c r="N149" s="27"/>
      <c r="O149" s="27"/>
      <c r="P149" s="27"/>
      <c r="Q149" s="27"/>
      <c r="R149" s="27"/>
      <c r="S149" s="27"/>
      <c r="T149" s="27"/>
      <c r="U149" s="30"/>
      <c r="V149" s="40"/>
      <c r="W149" s="40">
        <v>85</v>
      </c>
      <c r="X149" s="117">
        <f t="shared" si="0"/>
        <v>0.55502657741845662</v>
      </c>
      <c r="Y149" s="117">
        <f xml:space="preserve"> Y125*W149^Y126</f>
        <v>0.50676339677337356</v>
      </c>
      <c r="Z149" s="117">
        <f xml:space="preserve"> Z125*W149^Z126</f>
        <v>0.45850021612829028</v>
      </c>
      <c r="AA149" s="117">
        <f xml:space="preserve"> AA125*W149^AA126</f>
        <v>0.41506335354771545</v>
      </c>
      <c r="AB149" s="117">
        <f xml:space="preserve"> AB125*W149^AB126</f>
        <v>0.36921333193488642</v>
      </c>
      <c r="AC149" s="117">
        <f xml:space="preserve"> AC125*W149^AC126</f>
        <v>0.3233633103220574</v>
      </c>
      <c r="AD149" s="18">
        <v>0.5</v>
      </c>
      <c r="AE149" s="5"/>
      <c r="AF149" s="5"/>
      <c r="AG149" s="5"/>
      <c r="AH149" s="5"/>
      <c r="AI149" s="5"/>
    </row>
    <row r="150" spans="1:35" s="28" customFormat="1" ht="12.75" x14ac:dyDescent="0.2">
      <c r="A150" s="73"/>
      <c r="B150" s="109" t="s">
        <v>91</v>
      </c>
      <c r="C150" s="113">
        <f>-AF132</f>
        <v>-0.5816914282866803</v>
      </c>
      <c r="D150" s="73"/>
      <c r="E150" s="73"/>
      <c r="F150" s="73"/>
      <c r="G150" s="73"/>
      <c r="H150" s="73"/>
      <c r="I150" s="73"/>
      <c r="J150" s="73"/>
      <c r="K150" s="73"/>
      <c r="L150" s="30"/>
      <c r="M150" s="27"/>
      <c r="N150" s="27"/>
      <c r="O150" s="27"/>
      <c r="P150" s="27"/>
      <c r="Q150" s="27"/>
      <c r="R150" s="27"/>
      <c r="S150" s="27"/>
      <c r="T150" s="27"/>
      <c r="U150" s="30"/>
      <c r="V150" s="40"/>
      <c r="W150" s="40">
        <v>95</v>
      </c>
      <c r="X150" s="117">
        <f t="shared" si="0"/>
        <v>0.53561937985188623</v>
      </c>
      <c r="Y150" s="117">
        <f xml:space="preserve"> Y125*W150^Y126</f>
        <v>0.48904378160389622</v>
      </c>
      <c r="Z150" s="117">
        <f xml:space="preserve"> Z125*W150^Z126</f>
        <v>0.44246818335590604</v>
      </c>
      <c r="AA150" s="117">
        <f xml:space="preserve"> AA125*W150^AA126</f>
        <v>0.40055014493271496</v>
      </c>
      <c r="AB150" s="117">
        <f xml:space="preserve"> AB125*W150^AB126</f>
        <v>0.35630332659712438</v>
      </c>
      <c r="AC150" s="117">
        <f xml:space="preserve"> AC125*W150^AC126</f>
        <v>0.31205650826153375</v>
      </c>
      <c r="AD150" s="18">
        <v>0.5</v>
      </c>
      <c r="AE150" s="5"/>
      <c r="AF150" s="5"/>
      <c r="AG150" s="5"/>
      <c r="AH150" s="51"/>
      <c r="AI150" s="5"/>
    </row>
    <row r="151" spans="1:35" s="28" customFormat="1" ht="12.75" x14ac:dyDescent="0.2">
      <c r="A151" s="73"/>
      <c r="B151" s="76"/>
      <c r="C151" s="125"/>
      <c r="D151" s="73"/>
      <c r="E151" s="73"/>
      <c r="F151" s="82"/>
      <c r="G151" s="73"/>
      <c r="H151" s="73"/>
      <c r="I151" s="82"/>
      <c r="J151" s="73"/>
      <c r="K151" s="73"/>
      <c r="L151" s="30"/>
      <c r="M151" s="27"/>
      <c r="N151" s="27"/>
      <c r="O151" s="27"/>
      <c r="P151" s="27"/>
      <c r="Q151" s="27"/>
      <c r="R151" s="27"/>
      <c r="S151" s="27"/>
      <c r="T151" s="27"/>
      <c r="U151" s="30"/>
      <c r="V151" s="40"/>
      <c r="W151" s="40">
        <v>105</v>
      </c>
      <c r="X151" s="117">
        <f t="shared" si="0"/>
        <v>0.5187370409163693</v>
      </c>
      <c r="Y151" s="117">
        <f xml:space="preserve"> Y125*W151^Y126</f>
        <v>0.4736294721410329</v>
      </c>
      <c r="Z151" s="117">
        <f xml:space="preserve"> Z125*W151^Z126</f>
        <v>0.4285219033656964</v>
      </c>
      <c r="AA151" s="117">
        <f xml:space="preserve"> AA125*W151^AA126</f>
        <v>0.38792509146789361</v>
      </c>
      <c r="AB151" s="117">
        <f xml:space="preserve"> AB125*W151^AB126</f>
        <v>0.34507290113132394</v>
      </c>
      <c r="AC151" s="117">
        <f xml:space="preserve"> AC125*W151^AC126</f>
        <v>0.30222071079475432</v>
      </c>
      <c r="AD151" s="18">
        <v>0.5</v>
      </c>
      <c r="AE151" s="5"/>
      <c r="AF151" s="5"/>
      <c r="AG151" s="5"/>
      <c r="AH151" s="5"/>
      <c r="AI151" s="5"/>
    </row>
    <row r="152" spans="1:35" s="28" customFormat="1" ht="12.75" x14ac:dyDescent="0.2">
      <c r="A152" s="73"/>
      <c r="B152" s="81" t="s">
        <v>87</v>
      </c>
      <c r="C152" s="126"/>
      <c r="D152" s="73"/>
      <c r="E152" s="74"/>
      <c r="F152" s="82"/>
      <c r="G152" s="73"/>
      <c r="H152" s="73"/>
      <c r="I152" s="82"/>
      <c r="J152" s="73"/>
      <c r="K152" s="73"/>
      <c r="L152" s="30"/>
      <c r="M152" s="27"/>
      <c r="N152" s="27"/>
      <c r="O152" s="27"/>
      <c r="P152" s="27"/>
      <c r="Q152" s="27"/>
      <c r="R152" s="27"/>
      <c r="S152" s="27"/>
      <c r="T152" s="27"/>
      <c r="U152" s="30"/>
      <c r="V152" s="40"/>
      <c r="W152" s="40"/>
      <c r="X152" s="30"/>
      <c r="Y152" s="52"/>
      <c r="Z152" s="52"/>
      <c r="AA152" s="52"/>
      <c r="AB152" s="52"/>
      <c r="AC152" s="52"/>
      <c r="AD152" s="5"/>
      <c r="AE152" s="5"/>
      <c r="AF152" s="5"/>
      <c r="AG152" s="5"/>
      <c r="AH152" s="5"/>
      <c r="AI152" s="5"/>
    </row>
    <row r="153" spans="1:35" s="28" customFormat="1" ht="12.75" x14ac:dyDescent="0.2">
      <c r="A153" s="73"/>
      <c r="B153" s="109" t="s">
        <v>91</v>
      </c>
      <c r="C153" s="113">
        <f>-AF138</f>
        <v>-0.65809685006484264</v>
      </c>
      <c r="D153" s="82"/>
      <c r="E153" s="74"/>
      <c r="F153" s="82"/>
      <c r="G153" s="73"/>
      <c r="H153" s="73"/>
      <c r="I153" s="82"/>
      <c r="J153" s="73"/>
      <c r="K153" s="73"/>
      <c r="L153" s="30"/>
      <c r="M153" s="27"/>
      <c r="N153" s="27"/>
      <c r="O153" s="27"/>
      <c r="P153" s="27"/>
      <c r="Q153" s="27"/>
      <c r="R153" s="27"/>
      <c r="S153" s="27"/>
      <c r="T153" s="27"/>
      <c r="U153" s="30"/>
      <c r="V153" s="40"/>
      <c r="W153" s="40"/>
      <c r="X153" s="30"/>
      <c r="Y153" s="52"/>
      <c r="Z153" s="18"/>
      <c r="AA153" s="41"/>
      <c r="AB153" s="5"/>
      <c r="AC153" s="5"/>
      <c r="AD153" s="5"/>
      <c r="AE153" s="5"/>
      <c r="AF153" s="5"/>
      <c r="AG153" s="5"/>
      <c r="AH153" s="5"/>
      <c r="AI153" s="5"/>
    </row>
    <row r="154" spans="1:35" s="28" customFormat="1" ht="12.75" x14ac:dyDescent="0.2">
      <c r="A154" s="73"/>
      <c r="B154" s="100"/>
      <c r="C154" s="82"/>
      <c r="D154" s="82"/>
      <c r="E154" s="74"/>
      <c r="F154" s="82"/>
      <c r="G154" s="73"/>
      <c r="H154" s="73"/>
      <c r="I154" s="82"/>
      <c r="J154" s="73"/>
      <c r="K154" s="73"/>
      <c r="L154" s="30"/>
      <c r="M154" s="27"/>
      <c r="N154" s="27"/>
      <c r="O154" s="27"/>
      <c r="P154" s="27"/>
      <c r="Q154" s="27"/>
      <c r="R154" s="27"/>
      <c r="S154" s="27"/>
      <c r="T154" s="27"/>
      <c r="U154" s="30"/>
      <c r="V154" s="40"/>
      <c r="W154" s="40"/>
      <c r="X154" s="30"/>
      <c r="Y154" s="18"/>
      <c r="Z154" s="51"/>
      <c r="AA154" s="55"/>
      <c r="AB154" s="51"/>
      <c r="AC154" s="5"/>
      <c r="AD154" s="5"/>
      <c r="AE154" s="5"/>
      <c r="AF154" s="5"/>
      <c r="AG154" s="5"/>
      <c r="AH154" s="5"/>
      <c r="AI154" s="5"/>
    </row>
    <row r="155" spans="1:35" s="28" customFormat="1" ht="12.75" x14ac:dyDescent="0.2">
      <c r="A155" s="73"/>
      <c r="B155" s="82"/>
      <c r="C155" s="82"/>
      <c r="D155" s="74"/>
      <c r="E155" s="82"/>
      <c r="F155" s="73"/>
      <c r="G155" s="73"/>
      <c r="H155" s="82"/>
      <c r="I155" s="73"/>
      <c r="J155" s="73"/>
      <c r="K155" s="73"/>
      <c r="L155" s="30"/>
      <c r="M155" s="27"/>
      <c r="N155" s="27"/>
      <c r="O155" s="27"/>
      <c r="P155" s="27"/>
      <c r="Q155" s="27"/>
      <c r="R155" s="27"/>
      <c r="S155" s="27"/>
      <c r="T155" s="27"/>
      <c r="U155" s="30"/>
      <c r="V155" s="40"/>
      <c r="W155" s="40"/>
      <c r="X155" s="30"/>
      <c r="Y155" s="18"/>
      <c r="Z155" s="5"/>
      <c r="AA155" s="41"/>
      <c r="AB155" s="5"/>
      <c r="AC155" s="5"/>
      <c r="AD155" s="5"/>
      <c r="AE155" s="5"/>
      <c r="AF155" s="5"/>
      <c r="AG155" s="5"/>
      <c r="AH155" s="5"/>
      <c r="AI155" s="5"/>
    </row>
    <row r="156" spans="1:35" s="28" customFormat="1" ht="12.75" x14ac:dyDescent="0.2">
      <c r="A156" s="5"/>
      <c r="B156" s="28" t="s">
        <v>86</v>
      </c>
      <c r="C156" s="96"/>
      <c r="D156" s="88"/>
      <c r="E156" s="46"/>
      <c r="F156" s="46"/>
      <c r="G156" s="5"/>
      <c r="H156" s="46"/>
      <c r="I156" s="46"/>
      <c r="J156" s="5"/>
      <c r="K156" s="5"/>
      <c r="L156" s="30"/>
      <c r="M156" s="27"/>
      <c r="N156" s="27"/>
      <c r="O156" s="27"/>
      <c r="P156" s="27"/>
      <c r="Q156" s="27"/>
      <c r="R156" s="27"/>
      <c r="S156" s="27"/>
      <c r="T156" s="27"/>
      <c r="U156" s="30"/>
      <c r="V156" s="40"/>
      <c r="W156" s="40"/>
      <c r="X156" s="30"/>
      <c r="Y156" s="5"/>
      <c r="Z156" s="5"/>
      <c r="AA156" s="5"/>
      <c r="AB156" s="5"/>
      <c r="AC156" s="5"/>
      <c r="AD156" s="5"/>
      <c r="AE156" s="5"/>
      <c r="AF156" s="5"/>
      <c r="AG156" s="5"/>
      <c r="AH156" s="5"/>
      <c r="AI156" s="5"/>
    </row>
    <row r="157" spans="1:35" s="28" customFormat="1" ht="12.75" x14ac:dyDescent="0.2">
      <c r="A157" s="5"/>
      <c r="B157" s="109" t="s">
        <v>52</v>
      </c>
      <c r="C157" s="113">
        <f>C150*C35</f>
        <v>-2.2104274274893849</v>
      </c>
      <c r="D157" s="73"/>
      <c r="E157" s="49"/>
      <c r="F157" s="40"/>
      <c r="G157" s="5"/>
      <c r="H157" s="49"/>
      <c r="I157" s="40"/>
      <c r="J157" s="47"/>
      <c r="K157" s="47"/>
      <c r="L157" s="30"/>
      <c r="M157" s="27"/>
      <c r="N157" s="27"/>
      <c r="O157" s="27"/>
      <c r="P157" s="27"/>
      <c r="Q157" s="27"/>
      <c r="R157" s="27"/>
      <c r="S157" s="27"/>
      <c r="T157" s="27"/>
      <c r="U157" s="30"/>
      <c r="V157" s="40"/>
      <c r="W157" s="40"/>
      <c r="X157" s="30"/>
    </row>
    <row r="158" spans="1:35" s="28" customFormat="1" ht="12.75" x14ac:dyDescent="0.2">
      <c r="A158" s="5"/>
      <c r="B158" s="76"/>
      <c r="C158" s="125"/>
      <c r="D158" s="73"/>
      <c r="E158" s="49"/>
      <c r="F158" s="40"/>
      <c r="G158" s="5"/>
      <c r="H158" s="49"/>
      <c r="I158" s="40"/>
      <c r="J158" s="47"/>
      <c r="K158" s="47"/>
      <c r="L158" s="30"/>
      <c r="M158" s="27"/>
      <c r="N158" s="27"/>
      <c r="O158" s="27"/>
      <c r="P158" s="27"/>
      <c r="Q158" s="27"/>
      <c r="R158" s="27"/>
      <c r="S158" s="27"/>
      <c r="T158" s="27"/>
      <c r="U158" s="30"/>
      <c r="V158" s="40"/>
      <c r="W158" s="40"/>
      <c r="X158" s="30"/>
    </row>
    <row r="159" spans="1:35" s="28" customFormat="1" ht="12.75" x14ac:dyDescent="0.2">
      <c r="A159" s="5"/>
      <c r="B159" s="81" t="s">
        <v>87</v>
      </c>
      <c r="C159" s="126"/>
      <c r="D159" s="73"/>
      <c r="E159" s="49"/>
      <c r="F159" s="40"/>
      <c r="G159" s="5"/>
      <c r="H159" s="49"/>
      <c r="I159" s="40"/>
      <c r="J159" s="47"/>
      <c r="K159" s="47"/>
      <c r="L159" s="30"/>
      <c r="M159" s="27"/>
      <c r="N159" s="27"/>
      <c r="O159" s="27"/>
      <c r="P159" s="27"/>
      <c r="Q159" s="27"/>
      <c r="R159" s="27"/>
      <c r="S159" s="27"/>
      <c r="T159" s="27"/>
      <c r="U159" s="30"/>
      <c r="V159" s="56"/>
      <c r="W159" s="40"/>
      <c r="X159" s="30"/>
    </row>
    <row r="160" spans="1:35" s="28" customFormat="1" ht="12.75" x14ac:dyDescent="0.2">
      <c r="A160" s="5"/>
      <c r="B160" s="109" t="s">
        <v>52</v>
      </c>
      <c r="C160" s="113">
        <f>C153*C35</f>
        <v>-2.5007680302464017</v>
      </c>
      <c r="D160" s="82"/>
      <c r="E160" s="49"/>
      <c r="F160" s="40"/>
      <c r="G160" s="5"/>
      <c r="H160" s="49"/>
      <c r="I160" s="40"/>
      <c r="J160" s="47"/>
      <c r="K160" s="47"/>
      <c r="L160" s="30"/>
      <c r="M160" s="27"/>
      <c r="N160" s="27"/>
      <c r="O160" s="27"/>
      <c r="P160" s="27"/>
      <c r="Q160" s="27"/>
      <c r="R160" s="27"/>
      <c r="S160" s="27"/>
      <c r="T160" s="27"/>
      <c r="U160" s="30"/>
      <c r="V160" s="5"/>
      <c r="W160" s="5"/>
      <c r="X160" s="30"/>
    </row>
    <row r="161" spans="1:46" s="28" customFormat="1" ht="12.75" x14ac:dyDescent="0.2">
      <c r="A161" s="58"/>
      <c r="B161" s="59"/>
      <c r="C161" s="60"/>
      <c r="D161" s="58"/>
      <c r="E161" s="58"/>
      <c r="F161" s="58"/>
      <c r="G161" s="60"/>
      <c r="H161" s="58"/>
      <c r="I161" s="58"/>
      <c r="J161" s="58"/>
      <c r="K161" s="58"/>
      <c r="L161" s="30"/>
      <c r="M161" s="27"/>
      <c r="N161" s="27"/>
      <c r="O161" s="27"/>
      <c r="P161" s="27"/>
      <c r="Q161" s="27"/>
      <c r="R161" s="27"/>
      <c r="S161" s="27"/>
      <c r="T161" s="27"/>
      <c r="U161" s="30"/>
      <c r="V161" s="30"/>
      <c r="W161" s="30"/>
      <c r="X161" s="30"/>
    </row>
    <row r="162" spans="1:46" s="28" customFormat="1" ht="12.75" x14ac:dyDescent="0.2">
      <c r="A162" s="145" t="s">
        <v>118</v>
      </c>
      <c r="B162" s="146"/>
      <c r="C162" s="146"/>
      <c r="D162" s="146"/>
      <c r="E162" s="146"/>
      <c r="F162" s="146"/>
      <c r="G162" s="147"/>
      <c r="H162" s="147"/>
      <c r="I162" s="147"/>
      <c r="J162" s="147"/>
      <c r="K162" s="148"/>
      <c r="L162" s="30"/>
      <c r="M162" s="27"/>
      <c r="N162" s="27"/>
      <c r="O162" s="27"/>
      <c r="P162" s="27"/>
      <c r="Q162" s="27"/>
      <c r="R162" s="27"/>
      <c r="S162" s="27"/>
      <c r="T162" s="27"/>
      <c r="U162" s="30"/>
      <c r="V162" s="5"/>
      <c r="W162" s="5"/>
      <c r="X162" s="5"/>
      <c r="Y162" s="5"/>
      <c r="Z162" s="5"/>
      <c r="AA162" s="5"/>
      <c r="AB162" s="5"/>
      <c r="AC162" s="5"/>
      <c r="AD162" s="5"/>
      <c r="AE162" s="5"/>
      <c r="AF162" s="5"/>
      <c r="AG162" s="5"/>
      <c r="AH162" s="5"/>
      <c r="AI162" s="5"/>
      <c r="AJ162" s="5"/>
    </row>
    <row r="163" spans="1:46" s="28" customFormat="1" ht="12.75" x14ac:dyDescent="0.2">
      <c r="A163" s="149"/>
      <c r="B163" s="149"/>
      <c r="C163" s="149"/>
      <c r="D163" s="150"/>
      <c r="E163" s="150"/>
      <c r="F163" s="151" t="s">
        <v>119</v>
      </c>
      <c r="G163" s="152" t="s">
        <v>120</v>
      </c>
      <c r="H163" s="153"/>
      <c r="I163" s="154"/>
      <c r="J163" s="154"/>
      <c r="K163" s="155"/>
      <c r="L163" s="30"/>
      <c r="M163" s="27"/>
      <c r="N163" s="27"/>
      <c r="O163" s="27"/>
      <c r="P163" s="27"/>
      <c r="Q163" s="27"/>
      <c r="R163" s="27"/>
      <c r="S163" s="27"/>
      <c r="T163" s="27"/>
      <c r="U163" s="30"/>
    </row>
    <row r="164" spans="1:46" s="5" customFormat="1" ht="12.75" x14ac:dyDescent="0.2">
      <c r="A164" s="14"/>
      <c r="E164" s="7" t="s">
        <v>1</v>
      </c>
      <c r="F164" s="8" t="str">
        <f>$C$1</f>
        <v>R. Abbott</v>
      </c>
      <c r="H164" s="15"/>
      <c r="I164" s="7" t="s">
        <v>8</v>
      </c>
      <c r="J164" s="16" t="str">
        <f>$G$2</f>
        <v>AA-SM-515-000</v>
      </c>
      <c r="K164" s="17"/>
      <c r="L164" s="18"/>
      <c r="M164" s="9"/>
      <c r="N164" s="9"/>
      <c r="O164" s="9"/>
      <c r="P164" s="9"/>
      <c r="Q164" s="11"/>
      <c r="R164" s="12"/>
      <c r="S164" s="36"/>
      <c r="T164" s="35"/>
      <c r="AH164" s="26"/>
      <c r="AI164" s="26"/>
      <c r="AJ164" s="26"/>
    </row>
    <row r="165" spans="1:46" s="5" customFormat="1" ht="12.75" x14ac:dyDescent="0.2">
      <c r="E165" s="7" t="s">
        <v>2</v>
      </c>
      <c r="F165" s="15" t="str">
        <f>$C$2</f>
        <v xml:space="preserve"> </v>
      </c>
      <c r="H165" s="15"/>
      <c r="I165" s="7" t="s">
        <v>9</v>
      </c>
      <c r="J165" s="17" t="str">
        <f>$G$3</f>
        <v>IR</v>
      </c>
      <c r="K165" s="17"/>
      <c r="L165" s="18"/>
      <c r="M165" s="9">
        <v>1</v>
      </c>
      <c r="N165" s="9"/>
      <c r="O165" s="9"/>
      <c r="P165" s="9"/>
      <c r="Q165" s="11"/>
      <c r="R165" s="12"/>
      <c r="S165" s="36"/>
      <c r="T165" s="35"/>
      <c r="AH165" s="127"/>
      <c r="AI165" s="127"/>
      <c r="AJ165" s="127"/>
    </row>
    <row r="166" spans="1:46" s="5" customFormat="1" ht="12.75" x14ac:dyDescent="0.2">
      <c r="E166" s="7" t="s">
        <v>3</v>
      </c>
      <c r="F166" s="15" t="str">
        <f>$C$3</f>
        <v>05/03/2017</v>
      </c>
      <c r="H166" s="15"/>
      <c r="I166" s="7" t="s">
        <v>6</v>
      </c>
      <c r="J166" s="8" t="str">
        <f>L166&amp;" of "&amp;$G$1</f>
        <v>4 of 17</v>
      </c>
      <c r="K166" s="15"/>
      <c r="L166" s="18">
        <f>SUM($M$1:M165)</f>
        <v>4</v>
      </c>
      <c r="M166" s="9"/>
      <c r="N166" s="9"/>
      <c r="O166" s="9"/>
      <c r="P166" s="9"/>
      <c r="Q166" s="11"/>
      <c r="R166" s="12"/>
      <c r="S166" s="36"/>
      <c r="T166" s="35"/>
      <c r="AH166" s="127"/>
      <c r="AI166" s="127"/>
      <c r="AJ166" s="127"/>
    </row>
    <row r="167" spans="1:46" s="5" customFormat="1" ht="12.75" x14ac:dyDescent="0.2">
      <c r="A167" s="26"/>
      <c r="B167" s="26"/>
      <c r="C167" s="26"/>
      <c r="D167" s="26"/>
      <c r="E167" s="7" t="s">
        <v>29</v>
      </c>
      <c r="F167" s="15" t="str">
        <f>$C$5</f>
        <v>STANDARD SPREADSHEET METHOD</v>
      </c>
      <c r="I167" s="19"/>
      <c r="J167" s="8"/>
      <c r="M167" s="9"/>
      <c r="N167" s="9"/>
      <c r="O167" s="9"/>
      <c r="P167" s="9"/>
      <c r="Q167" s="9"/>
      <c r="R167" s="9"/>
      <c r="S167" s="34"/>
      <c r="T167" s="35"/>
      <c r="AH167" s="127"/>
      <c r="AI167" s="127"/>
      <c r="AJ167" s="127"/>
    </row>
    <row r="168" spans="1:46" s="28" customFormat="1" x14ac:dyDescent="0.25">
      <c r="A168" s="70"/>
      <c r="B168" s="21" t="str">
        <f>$G$4</f>
        <v>SIMPLIFIED PART 23 AIRCRAFT LOADS</v>
      </c>
      <c r="C168" s="71"/>
      <c r="D168" s="71"/>
      <c r="E168" s="72"/>
      <c r="F168" s="71"/>
      <c r="G168" s="71"/>
      <c r="H168" s="71"/>
      <c r="I168" s="71"/>
      <c r="J168" s="71"/>
      <c r="K168" s="71"/>
      <c r="L168" s="30"/>
      <c r="M168" s="37"/>
      <c r="N168" s="38"/>
      <c r="O168" s="38"/>
      <c r="P168" s="38"/>
      <c r="Q168" s="38"/>
      <c r="R168" s="37"/>
      <c r="S168" s="37"/>
      <c r="T168" s="39"/>
      <c r="AH168" s="127"/>
      <c r="AI168" s="127"/>
      <c r="AJ168" s="127"/>
    </row>
    <row r="169" spans="1:46" s="26" customFormat="1" ht="12.75" x14ac:dyDescent="0.2">
      <c r="A169" s="73"/>
      <c r="B169" s="73" t="s">
        <v>47</v>
      </c>
      <c r="C169" s="73"/>
      <c r="D169" s="73"/>
      <c r="E169" s="73"/>
      <c r="F169" s="73"/>
      <c r="G169" s="73"/>
      <c r="H169" s="73"/>
      <c r="I169" s="73"/>
      <c r="J169" s="73"/>
      <c r="K169" s="73"/>
      <c r="L169" s="29"/>
      <c r="M169" s="37"/>
      <c r="N169" s="38"/>
      <c r="O169" s="38"/>
      <c r="P169" s="38"/>
      <c r="Q169" s="38"/>
      <c r="R169" s="37"/>
      <c r="S169" s="37"/>
      <c r="T169" s="39"/>
      <c r="AH169" s="127"/>
      <c r="AI169" s="127"/>
      <c r="AJ169" s="127"/>
    </row>
    <row r="170" spans="1:46" s="127" customFormat="1" ht="12.75" x14ac:dyDescent="0.2">
      <c r="B170" s="120" t="s">
        <v>100</v>
      </c>
      <c r="M170" s="37"/>
      <c r="N170" s="38"/>
      <c r="O170" s="38"/>
      <c r="P170" s="38"/>
      <c r="Q170" s="38"/>
      <c r="R170" s="37"/>
      <c r="S170" s="37"/>
      <c r="T170" s="39"/>
      <c r="V170" s="127">
        <f>C17</f>
        <v>2500</v>
      </c>
      <c r="W170" s="127">
        <v>61</v>
      </c>
    </row>
    <row r="171" spans="1:46" s="127" customFormat="1" ht="12.75" x14ac:dyDescent="0.2">
      <c r="M171" s="37"/>
      <c r="N171" s="38"/>
      <c r="O171" s="38"/>
      <c r="P171" s="38"/>
      <c r="Q171" s="38"/>
      <c r="R171" s="37"/>
      <c r="S171" s="37"/>
      <c r="T171" s="39"/>
      <c r="AJ171" s="132">
        <f>AN171</f>
        <v>120</v>
      </c>
      <c r="AK171" s="127">
        <f t="shared" ref="AK171:AK187" si="1">(($V$170*AL171)/(0.00237*-1.35*$C$18))^0.5</f>
        <v>86.810575329453073</v>
      </c>
      <c r="AL171" s="127">
        <f>AT185</f>
        <v>-1.9</v>
      </c>
      <c r="AN171" s="132">
        <f>AT172</f>
        <v>120</v>
      </c>
      <c r="AO171" s="127">
        <v>3.8</v>
      </c>
    </row>
    <row r="172" spans="1:46" s="127" customFormat="1" ht="13.5" customHeight="1" x14ac:dyDescent="0.2">
      <c r="M172" s="37"/>
      <c r="N172" s="38"/>
      <c r="O172" s="38"/>
      <c r="P172" s="38"/>
      <c r="Q172" s="38"/>
      <c r="R172" s="37"/>
      <c r="S172" s="37"/>
      <c r="T172" s="39"/>
      <c r="V172" s="28"/>
      <c r="W172" s="28"/>
      <c r="X172" s="28"/>
      <c r="Y172" s="28"/>
      <c r="Z172" s="28"/>
      <c r="AA172" s="28"/>
      <c r="AB172" s="28"/>
      <c r="AC172" s="28"/>
      <c r="AD172" s="28"/>
      <c r="AE172" s="28"/>
      <c r="AF172" s="28"/>
      <c r="AG172" s="28"/>
      <c r="AJ172" s="127">
        <f t="shared" ref="AJ172:AJ186" si="2">$AJ$171*AK172/$AK$171</f>
        <v>114.41551070947108</v>
      </c>
      <c r="AK172" s="127">
        <f t="shared" si="1"/>
        <v>82.770635927519862</v>
      </c>
      <c r="AL172" s="127">
        <f>AL171/1.1</f>
        <v>-1.7272727272727271</v>
      </c>
      <c r="AN172" s="127">
        <f t="shared" ref="AN172:AN186" si="3">$W$170*(AO172^0.5)*$AT$172/($W$170*$C$35^0.5)</f>
        <v>114.41551070947108</v>
      </c>
      <c r="AO172" s="127">
        <f>AO171/1.1</f>
        <v>3.4545454545454541</v>
      </c>
      <c r="AR172" s="130" t="s">
        <v>99</v>
      </c>
      <c r="AS172" s="130" t="s">
        <v>93</v>
      </c>
      <c r="AT172" s="132">
        <f>F43</f>
        <v>120</v>
      </c>
    </row>
    <row r="173" spans="1:46" s="127" customFormat="1" ht="12.75" x14ac:dyDescent="0.2">
      <c r="M173" s="37"/>
      <c r="N173" s="38"/>
      <c r="O173" s="38"/>
      <c r="P173" s="38"/>
      <c r="Q173" s="38"/>
      <c r="R173" s="37"/>
      <c r="S173" s="37"/>
      <c r="T173" s="39"/>
      <c r="V173" s="26"/>
      <c r="W173" s="26"/>
      <c r="X173" s="26"/>
      <c r="Y173" s="26"/>
      <c r="Z173" s="26"/>
      <c r="AA173" s="26"/>
      <c r="AB173" s="26"/>
      <c r="AC173" s="26"/>
      <c r="AD173" s="26"/>
      <c r="AE173" s="26"/>
      <c r="AF173" s="26"/>
      <c r="AG173" s="26"/>
      <c r="AJ173" s="127">
        <f t="shared" si="2"/>
        <v>104.4465935734187</v>
      </c>
      <c r="AK173" s="127">
        <f t="shared" si="1"/>
        <v>75.558907327583611</v>
      </c>
      <c r="AL173" s="127">
        <f>AL172/1.2</f>
        <v>-1.4393939393939392</v>
      </c>
      <c r="AN173" s="127">
        <f t="shared" si="3"/>
        <v>104.4465935734187</v>
      </c>
      <c r="AO173" s="127">
        <f>AO172/1.2</f>
        <v>2.8787878787878785</v>
      </c>
      <c r="AR173" s="130"/>
      <c r="AS173" s="130" t="s">
        <v>92</v>
      </c>
      <c r="AT173" s="127">
        <f>C35</f>
        <v>3.8</v>
      </c>
    </row>
    <row r="174" spans="1:46" s="127" customFormat="1" ht="12.75" x14ac:dyDescent="0.2">
      <c r="M174" s="37"/>
      <c r="N174" s="38"/>
      <c r="O174" s="38"/>
      <c r="P174" s="38"/>
      <c r="Q174" s="38"/>
      <c r="R174" s="37"/>
      <c r="S174" s="37"/>
      <c r="T174" s="39"/>
      <c r="AJ174" s="127">
        <f t="shared" si="2"/>
        <v>91.605722482868885</v>
      </c>
      <c r="AK174" s="127">
        <f t="shared" si="1"/>
        <v>66.269545601733853</v>
      </c>
      <c r="AL174" s="127">
        <f>AL173/1.3</f>
        <v>-1.1072261072261071</v>
      </c>
      <c r="AN174" s="127">
        <f t="shared" si="3"/>
        <v>91.605722482868885</v>
      </c>
      <c r="AO174" s="127">
        <f>AO173/1.3</f>
        <v>2.2144522144522143</v>
      </c>
      <c r="AR174" s="130"/>
      <c r="AS174" s="130"/>
    </row>
    <row r="175" spans="1:46" s="127" customFormat="1" ht="12.75" x14ac:dyDescent="0.2">
      <c r="M175" s="37"/>
      <c r="N175" s="38"/>
      <c r="O175" s="38"/>
      <c r="P175" s="38"/>
      <c r="Q175" s="38"/>
      <c r="R175" s="37"/>
      <c r="S175" s="37"/>
      <c r="T175" s="39"/>
      <c r="W175" s="127">
        <v>0</v>
      </c>
      <c r="X175" s="127">
        <v>1</v>
      </c>
      <c r="Y175" s="127">
        <v>1</v>
      </c>
      <c r="Z175" s="127">
        <v>1</v>
      </c>
      <c r="AA175" s="127">
        <v>1</v>
      </c>
      <c r="AJ175" s="127">
        <f t="shared" si="2"/>
        <v>77.420966113876361</v>
      </c>
      <c r="AK175" s="127">
        <f t="shared" si="1"/>
        <v>56.007988424230817</v>
      </c>
      <c r="AL175" s="127">
        <f>AL174/1.4</f>
        <v>-0.79087579087579085</v>
      </c>
      <c r="AN175" s="127">
        <f t="shared" si="3"/>
        <v>77.420966113876389</v>
      </c>
      <c r="AO175" s="127">
        <f>AO174/1.4</f>
        <v>1.5817515817515817</v>
      </c>
      <c r="AR175" s="130" t="s">
        <v>98</v>
      </c>
      <c r="AS175" s="130" t="s">
        <v>93</v>
      </c>
      <c r="AT175" s="132">
        <f>F49</f>
        <v>190</v>
      </c>
    </row>
    <row r="176" spans="1:46" s="127" customFormat="1" ht="12.75" x14ac:dyDescent="0.2">
      <c r="F176" s="128"/>
      <c r="G176" s="128"/>
      <c r="M176" s="37"/>
      <c r="N176" s="38"/>
      <c r="O176" s="38"/>
      <c r="P176" s="38"/>
      <c r="Q176" s="38"/>
      <c r="R176" s="37"/>
      <c r="S176" s="37"/>
      <c r="T176" s="39"/>
      <c r="W176" s="132">
        <f>AG177</f>
        <v>120</v>
      </c>
      <c r="X176" s="133">
        <f>AH177</f>
        <v>3.8</v>
      </c>
      <c r="Y176" s="133">
        <f>AT185</f>
        <v>-1.9</v>
      </c>
      <c r="AD176" s="132">
        <f>AT172</f>
        <v>120</v>
      </c>
      <c r="AE176" s="127">
        <f>AT173</f>
        <v>3.8</v>
      </c>
      <c r="AJ176" s="127">
        <f t="shared" si="2"/>
        <v>63.213954124101384</v>
      </c>
      <c r="AK176" s="127">
        <f t="shared" si="1"/>
        <v>45.730331053024116</v>
      </c>
      <c r="AL176" s="127">
        <f>AL175/1.5</f>
        <v>-0.52725052725052723</v>
      </c>
      <c r="AN176" s="127">
        <f t="shared" si="3"/>
        <v>63.213954124101392</v>
      </c>
      <c r="AO176" s="127">
        <f>AO175/1.5</f>
        <v>1.0545010545010545</v>
      </c>
      <c r="AR176" s="130"/>
      <c r="AS176" s="130" t="s">
        <v>92</v>
      </c>
      <c r="AT176" s="133">
        <f>AT173</f>
        <v>3.8</v>
      </c>
    </row>
    <row r="177" spans="2:46" s="127" customFormat="1" ht="12.75" x14ac:dyDescent="0.2">
      <c r="F177" s="128"/>
      <c r="M177" s="37"/>
      <c r="N177" s="38"/>
      <c r="O177" s="38"/>
      <c r="P177" s="38"/>
      <c r="Q177" s="38"/>
      <c r="R177" s="37"/>
      <c r="S177" s="37"/>
      <c r="T177" s="39"/>
      <c r="AD177" s="132">
        <f>AT188</f>
        <v>160</v>
      </c>
      <c r="AE177" s="133">
        <f>AT189</f>
        <v>4.1446586566634815</v>
      </c>
      <c r="AG177" s="132">
        <f>AD176</f>
        <v>120</v>
      </c>
      <c r="AH177" s="133">
        <f>AE176</f>
        <v>3.8</v>
      </c>
      <c r="AJ177" s="127">
        <f t="shared" si="2"/>
        <v>49.975018734388655</v>
      </c>
      <c r="AK177" s="127">
        <f t="shared" si="1"/>
        <v>36.153001070270626</v>
      </c>
      <c r="AL177" s="127">
        <f>AL176/1.6</f>
        <v>-0.32953157953157952</v>
      </c>
      <c r="AN177" s="127">
        <f t="shared" si="3"/>
        <v>49.975018734388655</v>
      </c>
      <c r="AO177" s="127">
        <f>AO176/1.6</f>
        <v>0.65906315906315904</v>
      </c>
      <c r="AR177" s="130"/>
      <c r="AS177" s="130"/>
    </row>
    <row r="178" spans="2:46" s="127" customFormat="1" ht="12.75" x14ac:dyDescent="0.2">
      <c r="F178" s="128"/>
      <c r="M178" s="37"/>
      <c r="N178" s="38"/>
      <c r="O178" s="38"/>
      <c r="P178" s="38"/>
      <c r="Q178" s="38"/>
      <c r="R178" s="37"/>
      <c r="S178" s="37"/>
      <c r="T178" s="39"/>
      <c r="AD178" s="132">
        <f>AT175</f>
        <v>190</v>
      </c>
      <c r="AE178" s="133">
        <f>AT176</f>
        <v>3.8</v>
      </c>
      <c r="AG178" s="132">
        <f>AD178</f>
        <v>190</v>
      </c>
      <c r="AH178" s="133">
        <f>AH177</f>
        <v>3.8</v>
      </c>
      <c r="AJ178" s="127">
        <f t="shared" si="2"/>
        <v>47.649310760087197</v>
      </c>
      <c r="AK178" s="127">
        <f t="shared" si="1"/>
        <v>34.470534009458902</v>
      </c>
      <c r="AL178" s="127">
        <f>AL177/1.1</f>
        <v>-0.29957416321052682</v>
      </c>
      <c r="AN178" s="127">
        <f t="shared" si="3"/>
        <v>47.649310760087197</v>
      </c>
      <c r="AO178" s="127">
        <f>AO177/1.1</f>
        <v>0.59914832642105365</v>
      </c>
      <c r="AR178" s="130" t="s">
        <v>97</v>
      </c>
      <c r="AS178" s="130" t="s">
        <v>93</v>
      </c>
      <c r="AT178" s="132">
        <f>AT175</f>
        <v>190</v>
      </c>
    </row>
    <row r="179" spans="2:46" s="127" customFormat="1" ht="12.75" x14ac:dyDescent="0.2">
      <c r="F179" s="128"/>
      <c r="M179" s="37"/>
      <c r="N179" s="38"/>
      <c r="O179" s="38"/>
      <c r="P179" s="38"/>
      <c r="Q179" s="38"/>
      <c r="R179" s="37"/>
      <c r="S179" s="37"/>
      <c r="T179" s="39"/>
      <c r="W179" s="127">
        <v>0</v>
      </c>
      <c r="Z179" s="127">
        <v>1</v>
      </c>
      <c r="AA179" s="127">
        <v>1</v>
      </c>
      <c r="AD179" s="132">
        <f>AD178</f>
        <v>190</v>
      </c>
      <c r="AE179" s="133">
        <f>AT179</f>
        <v>-1.9</v>
      </c>
      <c r="AG179" s="132"/>
      <c r="AH179" s="134"/>
      <c r="AJ179" s="127">
        <f t="shared" si="2"/>
        <v>35.515699313522376</v>
      </c>
      <c r="AK179" s="127">
        <f t="shared" si="1"/>
        <v>25.692819088622826</v>
      </c>
      <c r="AL179" s="127">
        <f>AL178/1.8</f>
        <v>-0.16643009067251491</v>
      </c>
      <c r="AN179" s="127">
        <f t="shared" si="3"/>
        <v>35.515699313522383</v>
      </c>
      <c r="AO179" s="127">
        <f>AO178/1.8</f>
        <v>0.33286018134502982</v>
      </c>
      <c r="AR179" s="130"/>
      <c r="AS179" s="130" t="s">
        <v>92</v>
      </c>
      <c r="AT179" s="133">
        <f>C36</f>
        <v>-1.9</v>
      </c>
    </row>
    <row r="180" spans="2:46" s="127" customFormat="1" ht="12.75" x14ac:dyDescent="0.2">
      <c r="E180" s="129"/>
      <c r="M180" s="37"/>
      <c r="N180" s="38"/>
      <c r="O180" s="38"/>
      <c r="P180" s="38"/>
      <c r="Q180" s="38"/>
      <c r="R180" s="37"/>
      <c r="S180" s="37"/>
      <c r="T180" s="39"/>
      <c r="W180" s="132">
        <f>AT175</f>
        <v>190</v>
      </c>
      <c r="Z180" s="133">
        <f>AH178</f>
        <v>3.8</v>
      </c>
      <c r="AA180" s="133">
        <f>AT185</f>
        <v>-1.9</v>
      </c>
      <c r="AD180" s="132">
        <f>AT181</f>
        <v>160</v>
      </c>
      <c r="AE180" s="133">
        <f>AT182</f>
        <v>-2.2104274274893849</v>
      </c>
      <c r="AG180" s="132">
        <f>AG177</f>
        <v>120</v>
      </c>
      <c r="AH180" s="133">
        <f>AT185</f>
        <v>-1.9</v>
      </c>
      <c r="AJ180" s="127">
        <f t="shared" si="2"/>
        <v>25.765796358008931</v>
      </c>
      <c r="AK180" s="127">
        <f t="shared" si="1"/>
        <v>18.639530047169018</v>
      </c>
      <c r="AL180" s="127">
        <f>AL179/1.9</f>
        <v>-8.759478456448154E-2</v>
      </c>
      <c r="AN180" s="127">
        <f t="shared" si="3"/>
        <v>25.765796358008934</v>
      </c>
      <c r="AO180" s="127">
        <f>AO179/1.9</f>
        <v>0.17518956912896308</v>
      </c>
      <c r="AR180" s="130"/>
      <c r="AS180" s="130"/>
    </row>
    <row r="181" spans="2:46" s="127" customFormat="1" ht="12.75" x14ac:dyDescent="0.2">
      <c r="M181" s="37"/>
      <c r="N181" s="38"/>
      <c r="O181" s="38"/>
      <c r="P181" s="38"/>
      <c r="Q181" s="38"/>
      <c r="R181" s="37"/>
      <c r="S181" s="37"/>
      <c r="T181" s="39"/>
      <c r="AD181" s="132">
        <f>AT184</f>
        <v>120</v>
      </c>
      <c r="AE181" s="133">
        <f>AT185</f>
        <v>-1.9</v>
      </c>
      <c r="AG181" s="132">
        <f>AG178</f>
        <v>190</v>
      </c>
      <c r="AH181" s="133">
        <f>AH180</f>
        <v>-1.9</v>
      </c>
      <c r="AJ181" s="127">
        <f t="shared" si="2"/>
        <v>18.219169327419767</v>
      </c>
      <c r="AK181" s="127">
        <f t="shared" si="1"/>
        <v>13.18013809448362</v>
      </c>
      <c r="AL181" s="127">
        <f t="shared" ref="AL181:AL186" si="4">AL180/2</f>
        <v>-4.379739228224077E-2</v>
      </c>
      <c r="AN181" s="127">
        <f t="shared" si="3"/>
        <v>18.219169327419767</v>
      </c>
      <c r="AO181" s="127">
        <f t="shared" ref="AO181:AO186" si="5">AO180/2</f>
        <v>8.759478456448154E-2</v>
      </c>
      <c r="AR181" s="130" t="s">
        <v>96</v>
      </c>
      <c r="AS181" s="130" t="s">
        <v>93</v>
      </c>
      <c r="AT181" s="132">
        <f>F46</f>
        <v>160</v>
      </c>
    </row>
    <row r="182" spans="2:46" s="127" customFormat="1" ht="12.75" x14ac:dyDescent="0.2">
      <c r="M182" s="37"/>
      <c r="N182" s="38"/>
      <c r="O182" s="38"/>
      <c r="P182" s="38"/>
      <c r="Q182" s="38"/>
      <c r="R182" s="37"/>
      <c r="S182" s="37"/>
      <c r="T182" s="39"/>
      <c r="AJ182" s="127">
        <f t="shared" si="2"/>
        <v>12.882898179004465</v>
      </c>
      <c r="AK182" s="127">
        <f t="shared" si="1"/>
        <v>9.3197650235845089</v>
      </c>
      <c r="AL182" s="127">
        <f t="shared" si="4"/>
        <v>-2.1898696141120385E-2</v>
      </c>
      <c r="AN182" s="127">
        <f t="shared" si="3"/>
        <v>12.882898179004467</v>
      </c>
      <c r="AO182" s="127">
        <f t="shared" si="5"/>
        <v>4.379739228224077E-2</v>
      </c>
      <c r="AR182" s="130"/>
      <c r="AS182" s="130" t="s">
        <v>92</v>
      </c>
      <c r="AT182" s="133">
        <f>C157</f>
        <v>-2.2104274274893849</v>
      </c>
    </row>
    <row r="183" spans="2:46" s="127" customFormat="1" ht="12.75" x14ac:dyDescent="0.2">
      <c r="M183" s="37"/>
      <c r="N183" s="38"/>
      <c r="O183" s="38"/>
      <c r="P183" s="38"/>
      <c r="Q183" s="38"/>
      <c r="R183" s="37"/>
      <c r="S183" s="37"/>
      <c r="T183" s="39"/>
      <c r="AG183" s="132">
        <f>AT172</f>
        <v>120</v>
      </c>
      <c r="AH183" s="127">
        <f>AT173*1.1</f>
        <v>4.18</v>
      </c>
      <c r="AJ183" s="127">
        <f t="shared" si="2"/>
        <v>9.1095846637098834</v>
      </c>
      <c r="AK183" s="127">
        <f t="shared" si="1"/>
        <v>6.5900690472418102</v>
      </c>
      <c r="AL183" s="127">
        <f t="shared" si="4"/>
        <v>-1.0949348070560192E-2</v>
      </c>
      <c r="AN183" s="127">
        <f t="shared" si="3"/>
        <v>9.1095846637098834</v>
      </c>
      <c r="AO183" s="127">
        <f t="shared" si="5"/>
        <v>2.1898696141120385E-2</v>
      </c>
      <c r="AR183" s="130"/>
      <c r="AS183" s="130"/>
    </row>
    <row r="184" spans="2:46" s="127" customFormat="1" ht="12.75" x14ac:dyDescent="0.2">
      <c r="F184" s="128"/>
      <c r="M184" s="37"/>
      <c r="N184" s="38"/>
      <c r="O184" s="38"/>
      <c r="P184" s="38"/>
      <c r="Q184" s="38"/>
      <c r="R184" s="37"/>
      <c r="S184" s="37"/>
      <c r="T184" s="39"/>
      <c r="AG184" s="132">
        <f>AG183</f>
        <v>120</v>
      </c>
      <c r="AH184" s="127">
        <f>AT185*1.1</f>
        <v>-2.09</v>
      </c>
      <c r="AJ184" s="127">
        <f t="shared" si="2"/>
        <v>6.4414490895022327</v>
      </c>
      <c r="AK184" s="127">
        <f t="shared" si="1"/>
        <v>4.6598825117922544</v>
      </c>
      <c r="AL184" s="127">
        <f t="shared" si="4"/>
        <v>-5.4746740352800962E-3</v>
      </c>
      <c r="AN184" s="127">
        <f t="shared" si="3"/>
        <v>6.4414490895022336</v>
      </c>
      <c r="AO184" s="127">
        <f t="shared" si="5"/>
        <v>1.0949348070560192E-2</v>
      </c>
      <c r="AR184" s="130" t="s">
        <v>95</v>
      </c>
      <c r="AS184" s="130" t="s">
        <v>93</v>
      </c>
      <c r="AT184" s="132">
        <f>AT172</f>
        <v>120</v>
      </c>
    </row>
    <row r="185" spans="2:46" s="127" customFormat="1" ht="12.75" x14ac:dyDescent="0.2">
      <c r="F185" s="128"/>
      <c r="M185" s="37"/>
      <c r="N185" s="38"/>
      <c r="O185" s="38"/>
      <c r="P185" s="38"/>
      <c r="Q185" s="38"/>
      <c r="R185" s="37"/>
      <c r="S185" s="37"/>
      <c r="T185" s="39"/>
      <c r="AJ185" s="127">
        <f t="shared" si="2"/>
        <v>4.5547923318549417</v>
      </c>
      <c r="AK185" s="127">
        <f t="shared" si="1"/>
        <v>3.2950345236209051</v>
      </c>
      <c r="AL185" s="127">
        <f t="shared" si="4"/>
        <v>-2.7373370176400481E-3</v>
      </c>
      <c r="AN185" s="127">
        <f t="shared" si="3"/>
        <v>4.5547923318549417</v>
      </c>
      <c r="AO185" s="127">
        <f t="shared" si="5"/>
        <v>5.4746740352800962E-3</v>
      </c>
      <c r="AS185" s="130" t="s">
        <v>92</v>
      </c>
      <c r="AT185" s="127">
        <f>C36</f>
        <v>-1.9</v>
      </c>
    </row>
    <row r="186" spans="2:46" s="127" customFormat="1" ht="12.75" x14ac:dyDescent="0.2">
      <c r="F186" s="128"/>
      <c r="M186" s="37"/>
      <c r="N186" s="38"/>
      <c r="O186" s="38"/>
      <c r="P186" s="38"/>
      <c r="Q186" s="38"/>
      <c r="R186" s="37"/>
      <c r="S186" s="37"/>
      <c r="T186" s="39"/>
      <c r="AG186" s="132">
        <f>AT181</f>
        <v>160</v>
      </c>
      <c r="AH186" s="127">
        <f>AT189*1.1</f>
        <v>4.5591245223298298</v>
      </c>
      <c r="AJ186" s="127">
        <f t="shared" si="2"/>
        <v>3.2207245447511164</v>
      </c>
      <c r="AK186" s="127">
        <f t="shared" si="1"/>
        <v>2.3299412558961272</v>
      </c>
      <c r="AL186" s="127">
        <f t="shared" si="4"/>
        <v>-1.3686685088200241E-3</v>
      </c>
      <c r="AN186" s="127">
        <f t="shared" si="3"/>
        <v>3.2207245447511168</v>
      </c>
      <c r="AO186" s="127">
        <f t="shared" si="5"/>
        <v>2.7373370176400481E-3</v>
      </c>
    </row>
    <row r="187" spans="2:46" s="127" customFormat="1" ht="12.75" x14ac:dyDescent="0.2">
      <c r="F187" s="128"/>
      <c r="M187" s="37"/>
      <c r="N187" s="38"/>
      <c r="O187" s="38"/>
      <c r="P187" s="38"/>
      <c r="Q187" s="38"/>
      <c r="R187" s="37"/>
      <c r="S187" s="37"/>
      <c r="T187" s="39"/>
      <c r="AG187" s="132">
        <f>AG186</f>
        <v>160</v>
      </c>
      <c r="AH187" s="127">
        <f>AT182*1.1</f>
        <v>-2.4314701702383235</v>
      </c>
      <c r="AK187" s="127">
        <f t="shared" si="1"/>
        <v>0</v>
      </c>
      <c r="AL187" s="127">
        <v>0</v>
      </c>
      <c r="AN187" s="127">
        <v>0</v>
      </c>
      <c r="AO187" s="127">
        <v>0</v>
      </c>
    </row>
    <row r="188" spans="2:46" s="127" customFormat="1" ht="12.75" x14ac:dyDescent="0.2">
      <c r="M188" s="37"/>
      <c r="N188" s="38"/>
      <c r="O188" s="38"/>
      <c r="P188" s="38"/>
      <c r="Q188" s="38"/>
      <c r="R188" s="37"/>
      <c r="S188" s="37"/>
      <c r="T188" s="39"/>
      <c r="AR188" s="130" t="s">
        <v>94</v>
      </c>
      <c r="AS188" s="130" t="s">
        <v>93</v>
      </c>
      <c r="AT188" s="132">
        <f>AT181</f>
        <v>160</v>
      </c>
    </row>
    <row r="189" spans="2:46" s="127" customFormat="1" ht="12.75" x14ac:dyDescent="0.2">
      <c r="M189" s="37"/>
      <c r="N189" s="38"/>
      <c r="O189" s="38"/>
      <c r="P189" s="38"/>
      <c r="Q189" s="38"/>
      <c r="R189" s="37"/>
      <c r="S189" s="37"/>
      <c r="T189" s="39"/>
      <c r="AR189" s="130"/>
      <c r="AS189" s="130" t="s">
        <v>92</v>
      </c>
      <c r="AT189" s="131">
        <f>C105</f>
        <v>4.1446586566634815</v>
      </c>
    </row>
    <row r="190" spans="2:46" s="127" customFormat="1" ht="12.75" x14ac:dyDescent="0.2">
      <c r="M190" s="37"/>
      <c r="N190" s="38"/>
      <c r="O190" s="38"/>
      <c r="P190" s="38"/>
      <c r="Q190" s="38"/>
      <c r="R190" s="37"/>
      <c r="S190" s="37"/>
      <c r="T190" s="39"/>
    </row>
    <row r="191" spans="2:46" s="127" customFormat="1" ht="12.75" x14ac:dyDescent="0.2">
      <c r="M191" s="37"/>
      <c r="N191" s="38"/>
      <c r="O191" s="38"/>
      <c r="P191" s="38"/>
      <c r="Q191" s="38"/>
      <c r="R191" s="37"/>
      <c r="S191" s="37"/>
      <c r="T191" s="39"/>
    </row>
    <row r="192" spans="2:46" s="127" customFormat="1" ht="12.75" x14ac:dyDescent="0.2">
      <c r="B192" s="120" t="s">
        <v>101</v>
      </c>
      <c r="F192" s="128"/>
      <c r="M192" s="37"/>
      <c r="N192" s="38"/>
      <c r="O192" s="38"/>
      <c r="P192" s="38"/>
      <c r="Q192" s="38"/>
      <c r="R192" s="37"/>
      <c r="S192" s="37"/>
      <c r="T192" s="39"/>
    </row>
    <row r="193" spans="5:46" s="127" customFormat="1" ht="12.75" x14ac:dyDescent="0.2">
      <c r="M193" s="37"/>
      <c r="N193" s="38"/>
      <c r="O193" s="38"/>
      <c r="P193" s="38"/>
      <c r="Q193" s="38"/>
      <c r="R193" s="37"/>
      <c r="S193" s="37"/>
      <c r="T193" s="39"/>
      <c r="V193" s="127">
        <f>C21</f>
        <v>1700</v>
      </c>
      <c r="W193" s="127">
        <v>61</v>
      </c>
    </row>
    <row r="194" spans="5:46" s="127" customFormat="1" ht="12.75" x14ac:dyDescent="0.2">
      <c r="M194" s="37"/>
      <c r="N194" s="38"/>
      <c r="O194" s="38"/>
      <c r="P194" s="38"/>
      <c r="Q194" s="38"/>
      <c r="R194" s="37"/>
      <c r="S194" s="37"/>
      <c r="T194" s="39"/>
      <c r="AJ194" s="132">
        <f>AN194</f>
        <v>120</v>
      </c>
      <c r="AK194" s="127">
        <f>AK171</f>
        <v>86.810575329453073</v>
      </c>
      <c r="AL194" s="127">
        <f>AT208</f>
        <v>-1.9</v>
      </c>
      <c r="AN194" s="132">
        <f>AT195</f>
        <v>120</v>
      </c>
      <c r="AO194" s="127">
        <v>3.8</v>
      </c>
    </row>
    <row r="195" spans="5:46" s="127" customFormat="1" ht="13.5" customHeight="1" x14ac:dyDescent="0.2">
      <c r="M195" s="37"/>
      <c r="N195" s="38"/>
      <c r="O195" s="38"/>
      <c r="P195" s="38"/>
      <c r="Q195" s="38"/>
      <c r="R195" s="37"/>
      <c r="S195" s="37"/>
      <c r="T195" s="39"/>
      <c r="V195" s="28"/>
      <c r="W195" s="28"/>
      <c r="X195" s="28"/>
      <c r="Y195" s="28"/>
      <c r="Z195" s="28"/>
      <c r="AA195" s="28"/>
      <c r="AB195" s="28"/>
      <c r="AC195" s="28"/>
      <c r="AD195" s="28"/>
      <c r="AE195" s="28"/>
      <c r="AF195" s="28"/>
      <c r="AG195" s="28"/>
      <c r="AJ195" s="127">
        <f t="shared" ref="AJ195:AJ209" si="6">$AJ$194*AK195/$AK$194</f>
        <v>114.41551070947108</v>
      </c>
      <c r="AK195" s="127">
        <f t="shared" ref="AK195:AK210" si="7">AK172</f>
        <v>82.770635927519862</v>
      </c>
      <c r="AL195" s="127">
        <f>AL194/1.1</f>
        <v>-1.7272727272727271</v>
      </c>
      <c r="AN195" s="127">
        <f>AN172</f>
        <v>114.41551070947108</v>
      </c>
      <c r="AO195" s="127">
        <f>AO194/1.1</f>
        <v>3.4545454545454541</v>
      </c>
      <c r="AR195" s="130" t="s">
        <v>99</v>
      </c>
      <c r="AS195" s="130" t="s">
        <v>93</v>
      </c>
      <c r="AT195" s="132">
        <f>AT172</f>
        <v>120</v>
      </c>
    </row>
    <row r="196" spans="5:46" s="127" customFormat="1" ht="12.75" x14ac:dyDescent="0.2">
      <c r="M196" s="37"/>
      <c r="N196" s="38"/>
      <c r="O196" s="38"/>
      <c r="P196" s="38"/>
      <c r="Q196" s="38"/>
      <c r="R196" s="37"/>
      <c r="S196" s="37"/>
      <c r="T196" s="39"/>
      <c r="V196" s="26"/>
      <c r="W196" s="26"/>
      <c r="X196" s="26"/>
      <c r="Y196" s="26"/>
      <c r="Z196" s="26"/>
      <c r="AA196" s="26"/>
      <c r="AB196" s="26"/>
      <c r="AC196" s="26"/>
      <c r="AD196" s="26"/>
      <c r="AE196" s="26"/>
      <c r="AF196" s="26"/>
      <c r="AG196" s="26"/>
      <c r="AJ196" s="127">
        <f t="shared" si="6"/>
        <v>104.4465935734187</v>
      </c>
      <c r="AK196" s="127">
        <f t="shared" si="7"/>
        <v>75.558907327583611</v>
      </c>
      <c r="AL196" s="127">
        <f>AL195/1.2</f>
        <v>-1.4393939393939392</v>
      </c>
      <c r="AN196" s="127">
        <f t="shared" ref="AN196:AN209" si="8">AN173</f>
        <v>104.4465935734187</v>
      </c>
      <c r="AO196" s="127">
        <f>AO195/1.2</f>
        <v>2.8787878787878785</v>
      </c>
      <c r="AR196" s="130"/>
      <c r="AS196" s="130" t="s">
        <v>92</v>
      </c>
      <c r="AT196" s="127">
        <f>AT173</f>
        <v>3.8</v>
      </c>
    </row>
    <row r="197" spans="5:46" s="127" customFormat="1" ht="12.75" x14ac:dyDescent="0.2">
      <c r="M197" s="37"/>
      <c r="N197" s="38"/>
      <c r="O197" s="38"/>
      <c r="P197" s="38"/>
      <c r="Q197" s="38"/>
      <c r="R197" s="37"/>
      <c r="S197" s="37"/>
      <c r="T197" s="39"/>
      <c r="AJ197" s="127">
        <f t="shared" si="6"/>
        <v>91.605722482868885</v>
      </c>
      <c r="AK197" s="127">
        <f t="shared" si="7"/>
        <v>66.269545601733853</v>
      </c>
      <c r="AL197" s="127">
        <f>AL196/1.3</f>
        <v>-1.1072261072261071</v>
      </c>
      <c r="AN197" s="127">
        <f t="shared" si="8"/>
        <v>91.605722482868885</v>
      </c>
      <c r="AO197" s="127">
        <f>AO196/1.3</f>
        <v>2.2144522144522143</v>
      </c>
      <c r="AR197" s="130"/>
      <c r="AS197" s="130"/>
    </row>
    <row r="198" spans="5:46" s="127" customFormat="1" ht="12.75" x14ac:dyDescent="0.2">
      <c r="M198" s="37"/>
      <c r="N198" s="38"/>
      <c r="O198" s="38"/>
      <c r="P198" s="38"/>
      <c r="Q198" s="38"/>
      <c r="R198" s="37"/>
      <c r="S198" s="37"/>
      <c r="T198" s="39"/>
      <c r="W198" s="127">
        <v>0</v>
      </c>
      <c r="X198" s="127">
        <v>1</v>
      </c>
      <c r="Y198" s="127">
        <v>1</v>
      </c>
      <c r="Z198" s="127">
        <v>1</v>
      </c>
      <c r="AA198" s="127">
        <v>1</v>
      </c>
      <c r="AJ198" s="127">
        <f t="shared" si="6"/>
        <v>77.420966113876361</v>
      </c>
      <c r="AK198" s="127">
        <f t="shared" si="7"/>
        <v>56.007988424230817</v>
      </c>
      <c r="AL198" s="127">
        <f>AL197/1.4</f>
        <v>-0.79087579087579085</v>
      </c>
      <c r="AN198" s="127">
        <f t="shared" si="8"/>
        <v>77.420966113876389</v>
      </c>
      <c r="AO198" s="127">
        <f>AO197/1.4</f>
        <v>1.5817515817515817</v>
      </c>
      <c r="AR198" s="130" t="s">
        <v>98</v>
      </c>
      <c r="AS198" s="130" t="s">
        <v>93</v>
      </c>
      <c r="AT198" s="132">
        <f>AT175</f>
        <v>190</v>
      </c>
    </row>
    <row r="199" spans="5:46" s="127" customFormat="1" ht="12.75" x14ac:dyDescent="0.2">
      <c r="F199" s="128"/>
      <c r="G199" s="128"/>
      <c r="M199" s="37"/>
      <c r="N199" s="38"/>
      <c r="O199" s="38"/>
      <c r="P199" s="38"/>
      <c r="Q199" s="38"/>
      <c r="R199" s="37"/>
      <c r="S199" s="37"/>
      <c r="T199" s="39"/>
      <c r="W199" s="132">
        <f>AG200</f>
        <v>120</v>
      </c>
      <c r="X199" s="133">
        <f>AH200</f>
        <v>3.8</v>
      </c>
      <c r="Y199" s="133">
        <f>AT208</f>
        <v>-1.9</v>
      </c>
      <c r="AD199" s="132">
        <f>AT195</f>
        <v>120</v>
      </c>
      <c r="AE199" s="127">
        <f>AT196</f>
        <v>3.8</v>
      </c>
      <c r="AJ199" s="127">
        <f t="shared" si="6"/>
        <v>63.213954124101384</v>
      </c>
      <c r="AK199" s="127">
        <f t="shared" si="7"/>
        <v>45.730331053024116</v>
      </c>
      <c r="AL199" s="127">
        <f>AL198/1.5</f>
        <v>-0.52725052725052723</v>
      </c>
      <c r="AN199" s="127">
        <f t="shared" si="8"/>
        <v>63.213954124101392</v>
      </c>
      <c r="AO199" s="127">
        <f>AO198/1.5</f>
        <v>1.0545010545010545</v>
      </c>
      <c r="AR199" s="130"/>
      <c r="AS199" s="130" t="s">
        <v>92</v>
      </c>
      <c r="AT199" s="133">
        <f>AT196</f>
        <v>3.8</v>
      </c>
    </row>
    <row r="200" spans="5:46" s="127" customFormat="1" ht="12.75" x14ac:dyDescent="0.2">
      <c r="F200" s="128"/>
      <c r="M200" s="37"/>
      <c r="N200" s="38"/>
      <c r="O200" s="38"/>
      <c r="P200" s="38"/>
      <c r="Q200" s="38"/>
      <c r="R200" s="37"/>
      <c r="S200" s="37"/>
      <c r="T200" s="39"/>
      <c r="AD200" s="132">
        <f>AT211</f>
        <v>160</v>
      </c>
      <c r="AE200" s="133">
        <f>AT212</f>
        <v>4.4925653815640638</v>
      </c>
      <c r="AG200" s="132">
        <f>AD199</f>
        <v>120</v>
      </c>
      <c r="AH200" s="133">
        <f>AE199</f>
        <v>3.8</v>
      </c>
      <c r="AJ200" s="127">
        <f t="shared" si="6"/>
        <v>49.975018734388655</v>
      </c>
      <c r="AK200" s="127">
        <f t="shared" si="7"/>
        <v>36.153001070270626</v>
      </c>
      <c r="AL200" s="127">
        <f>AL199/1.6</f>
        <v>-0.32953157953157952</v>
      </c>
      <c r="AN200" s="127">
        <f t="shared" si="8"/>
        <v>49.975018734388655</v>
      </c>
      <c r="AO200" s="127">
        <f>AO199/1.6</f>
        <v>0.65906315906315904</v>
      </c>
      <c r="AR200" s="130"/>
      <c r="AS200" s="130"/>
    </row>
    <row r="201" spans="5:46" s="127" customFormat="1" ht="12.75" x14ac:dyDescent="0.2">
      <c r="F201" s="128"/>
      <c r="M201" s="37"/>
      <c r="N201" s="38"/>
      <c r="O201" s="38"/>
      <c r="P201" s="38"/>
      <c r="Q201" s="38"/>
      <c r="R201" s="37"/>
      <c r="S201" s="37"/>
      <c r="T201" s="39"/>
      <c r="AD201" s="132">
        <f>AT198</f>
        <v>190</v>
      </c>
      <c r="AE201" s="133">
        <f>AT199</f>
        <v>3.8</v>
      </c>
      <c r="AG201" s="132">
        <f>AD201</f>
        <v>190</v>
      </c>
      <c r="AH201" s="133">
        <f>AH200</f>
        <v>3.8</v>
      </c>
      <c r="AJ201" s="127">
        <f t="shared" si="6"/>
        <v>47.649310760087197</v>
      </c>
      <c r="AK201" s="127">
        <f t="shared" si="7"/>
        <v>34.470534009458902</v>
      </c>
      <c r="AL201" s="127">
        <f>AL200/1.1</f>
        <v>-0.29957416321052682</v>
      </c>
      <c r="AN201" s="127">
        <f t="shared" si="8"/>
        <v>47.649310760087197</v>
      </c>
      <c r="AO201" s="127">
        <f>AO200/1.1</f>
        <v>0.59914832642105365</v>
      </c>
      <c r="AR201" s="130" t="s">
        <v>97</v>
      </c>
      <c r="AS201" s="130" t="s">
        <v>93</v>
      </c>
      <c r="AT201" s="132">
        <f>AT178</f>
        <v>190</v>
      </c>
    </row>
    <row r="202" spans="5:46" s="127" customFormat="1" ht="12.75" x14ac:dyDescent="0.2">
      <c r="F202" s="128"/>
      <c r="M202" s="37"/>
      <c r="N202" s="38"/>
      <c r="O202" s="38"/>
      <c r="P202" s="38"/>
      <c r="Q202" s="38"/>
      <c r="R202" s="37"/>
      <c r="S202" s="37"/>
      <c r="T202" s="39"/>
      <c r="W202" s="127">
        <v>0</v>
      </c>
      <c r="Z202" s="127">
        <v>1</v>
      </c>
      <c r="AA202" s="127">
        <v>1</v>
      </c>
      <c r="AD202" s="132">
        <f>AD201</f>
        <v>190</v>
      </c>
      <c r="AE202" s="133">
        <f>AT202</f>
        <v>-1.9</v>
      </c>
      <c r="AG202" s="132"/>
      <c r="AH202" s="134"/>
      <c r="AJ202" s="127">
        <f t="shared" si="6"/>
        <v>35.515699313522376</v>
      </c>
      <c r="AK202" s="127">
        <f t="shared" si="7"/>
        <v>25.692819088622826</v>
      </c>
      <c r="AL202" s="127">
        <f>AL201/1.8</f>
        <v>-0.16643009067251491</v>
      </c>
      <c r="AN202" s="127">
        <f t="shared" si="8"/>
        <v>35.515699313522383</v>
      </c>
      <c r="AO202" s="127">
        <f>AO201/1.8</f>
        <v>0.33286018134502982</v>
      </c>
      <c r="AR202" s="130"/>
      <c r="AS202" s="130" t="s">
        <v>92</v>
      </c>
      <c r="AT202" s="133">
        <f>C36</f>
        <v>-1.9</v>
      </c>
    </row>
    <row r="203" spans="5:46" s="127" customFormat="1" ht="12.75" x14ac:dyDescent="0.2">
      <c r="E203" s="129"/>
      <c r="M203" s="37"/>
      <c r="N203" s="38"/>
      <c r="O203" s="38"/>
      <c r="P203" s="38"/>
      <c r="Q203" s="38"/>
      <c r="R203" s="37"/>
      <c r="S203" s="37"/>
      <c r="T203" s="39"/>
      <c r="W203" s="132">
        <f>AT198</f>
        <v>190</v>
      </c>
      <c r="Z203" s="133">
        <f>AH201</f>
        <v>3.8</v>
      </c>
      <c r="AA203" s="133">
        <f>AT208</f>
        <v>-1.9</v>
      </c>
      <c r="AD203" s="132">
        <f>AT204</f>
        <v>160</v>
      </c>
      <c r="AE203" s="133">
        <f>AT205</f>
        <v>-2.5007680302464017</v>
      </c>
      <c r="AG203" s="132">
        <f>AG200</f>
        <v>120</v>
      </c>
      <c r="AH203" s="133">
        <f>AT208</f>
        <v>-1.9</v>
      </c>
      <c r="AJ203" s="127">
        <f t="shared" si="6"/>
        <v>25.765796358008931</v>
      </c>
      <c r="AK203" s="127">
        <f t="shared" si="7"/>
        <v>18.639530047169018</v>
      </c>
      <c r="AL203" s="127">
        <f>AL202/1.9</f>
        <v>-8.759478456448154E-2</v>
      </c>
      <c r="AN203" s="127">
        <f t="shared" si="8"/>
        <v>25.765796358008934</v>
      </c>
      <c r="AO203" s="127">
        <f>AO202/1.9</f>
        <v>0.17518956912896308</v>
      </c>
      <c r="AR203" s="130"/>
      <c r="AS203" s="130"/>
    </row>
    <row r="204" spans="5:46" s="127" customFormat="1" ht="12.75" x14ac:dyDescent="0.2">
      <c r="M204" s="37"/>
      <c r="N204" s="38"/>
      <c r="O204" s="38"/>
      <c r="P204" s="38"/>
      <c r="Q204" s="38"/>
      <c r="R204" s="37"/>
      <c r="S204" s="37"/>
      <c r="T204" s="39"/>
      <c r="AD204" s="132">
        <f>AT207</f>
        <v>120</v>
      </c>
      <c r="AE204" s="133">
        <f>AT208</f>
        <v>-1.9</v>
      </c>
      <c r="AG204" s="132">
        <f>AG201</f>
        <v>190</v>
      </c>
      <c r="AH204" s="133">
        <f>AH203</f>
        <v>-1.9</v>
      </c>
      <c r="AJ204" s="127">
        <f t="shared" si="6"/>
        <v>18.219169327419767</v>
      </c>
      <c r="AK204" s="127">
        <f t="shared" si="7"/>
        <v>13.18013809448362</v>
      </c>
      <c r="AL204" s="127">
        <f t="shared" ref="AL204:AL209" si="9">AL203/2</f>
        <v>-4.379739228224077E-2</v>
      </c>
      <c r="AN204" s="127">
        <f t="shared" si="8"/>
        <v>18.219169327419767</v>
      </c>
      <c r="AO204" s="127">
        <f t="shared" ref="AO204:AO209" si="10">AO203/2</f>
        <v>8.759478456448154E-2</v>
      </c>
      <c r="AR204" s="130" t="s">
        <v>96</v>
      </c>
      <c r="AS204" s="130" t="s">
        <v>93</v>
      </c>
      <c r="AT204" s="132">
        <f>AT181</f>
        <v>160</v>
      </c>
    </row>
    <row r="205" spans="5:46" s="127" customFormat="1" ht="12.75" x14ac:dyDescent="0.2">
      <c r="M205" s="37"/>
      <c r="N205" s="38"/>
      <c r="O205" s="38"/>
      <c r="P205" s="38"/>
      <c r="Q205" s="38"/>
      <c r="R205" s="37"/>
      <c r="S205" s="37"/>
      <c r="T205" s="39"/>
      <c r="AJ205" s="127">
        <f t="shared" si="6"/>
        <v>12.882898179004465</v>
      </c>
      <c r="AK205" s="127">
        <f t="shared" si="7"/>
        <v>9.3197650235845089</v>
      </c>
      <c r="AL205" s="127">
        <f t="shared" si="9"/>
        <v>-2.1898696141120385E-2</v>
      </c>
      <c r="AN205" s="127">
        <f t="shared" si="8"/>
        <v>12.882898179004467</v>
      </c>
      <c r="AO205" s="127">
        <f t="shared" si="10"/>
        <v>4.379739228224077E-2</v>
      </c>
      <c r="AR205" s="130"/>
      <c r="AS205" s="130" t="s">
        <v>92</v>
      </c>
      <c r="AT205" s="133">
        <f>C160</f>
        <v>-2.5007680302464017</v>
      </c>
    </row>
    <row r="206" spans="5:46" s="127" customFormat="1" ht="12.75" x14ac:dyDescent="0.2">
      <c r="M206" s="37"/>
      <c r="N206" s="38"/>
      <c r="O206" s="38"/>
      <c r="P206" s="38"/>
      <c r="Q206" s="38"/>
      <c r="R206" s="37"/>
      <c r="S206" s="37"/>
      <c r="T206" s="39"/>
      <c r="AG206" s="132">
        <f>AT195</f>
        <v>120</v>
      </c>
      <c r="AH206" s="127">
        <f>AT196*1.1</f>
        <v>4.18</v>
      </c>
      <c r="AJ206" s="127">
        <f t="shared" si="6"/>
        <v>9.1095846637098834</v>
      </c>
      <c r="AK206" s="127">
        <f t="shared" si="7"/>
        <v>6.5900690472418102</v>
      </c>
      <c r="AL206" s="127">
        <f t="shared" si="9"/>
        <v>-1.0949348070560192E-2</v>
      </c>
      <c r="AN206" s="127">
        <f t="shared" si="8"/>
        <v>9.1095846637098834</v>
      </c>
      <c r="AO206" s="127">
        <f t="shared" si="10"/>
        <v>2.1898696141120385E-2</v>
      </c>
      <c r="AR206" s="130"/>
      <c r="AS206" s="130"/>
    </row>
    <row r="207" spans="5:46" s="127" customFormat="1" ht="12.75" x14ac:dyDescent="0.2">
      <c r="F207" s="128"/>
      <c r="M207" s="37"/>
      <c r="N207" s="38"/>
      <c r="O207" s="38"/>
      <c r="P207" s="38"/>
      <c r="Q207" s="38"/>
      <c r="R207" s="37"/>
      <c r="S207" s="37"/>
      <c r="T207" s="39"/>
      <c r="AG207" s="132">
        <f>AG206</f>
        <v>120</v>
      </c>
      <c r="AH207" s="127">
        <f>AT208*1.1</f>
        <v>-2.09</v>
      </c>
      <c r="AJ207" s="127">
        <f t="shared" si="6"/>
        <v>6.4414490895022327</v>
      </c>
      <c r="AK207" s="127">
        <f t="shared" si="7"/>
        <v>4.6598825117922544</v>
      </c>
      <c r="AL207" s="127">
        <f t="shared" si="9"/>
        <v>-5.4746740352800962E-3</v>
      </c>
      <c r="AN207" s="127">
        <f t="shared" si="8"/>
        <v>6.4414490895022336</v>
      </c>
      <c r="AO207" s="127">
        <f t="shared" si="10"/>
        <v>1.0949348070560192E-2</v>
      </c>
      <c r="AR207" s="130" t="s">
        <v>95</v>
      </c>
      <c r="AS207" s="130" t="s">
        <v>93</v>
      </c>
      <c r="AT207" s="132">
        <f>AT195</f>
        <v>120</v>
      </c>
    </row>
    <row r="208" spans="5:46" s="127" customFormat="1" ht="12.75" x14ac:dyDescent="0.2">
      <c r="F208" s="128"/>
      <c r="M208" s="37"/>
      <c r="N208" s="38"/>
      <c r="O208" s="38"/>
      <c r="P208" s="38"/>
      <c r="Q208" s="38"/>
      <c r="R208" s="37"/>
      <c r="S208" s="37"/>
      <c r="T208" s="39"/>
      <c r="AJ208" s="127">
        <f t="shared" si="6"/>
        <v>4.5547923318549417</v>
      </c>
      <c r="AK208" s="127">
        <f t="shared" si="7"/>
        <v>3.2950345236209051</v>
      </c>
      <c r="AL208" s="127">
        <f t="shared" si="9"/>
        <v>-2.7373370176400481E-3</v>
      </c>
      <c r="AN208" s="127">
        <f t="shared" si="8"/>
        <v>4.5547923318549417</v>
      </c>
      <c r="AO208" s="127">
        <f t="shared" si="10"/>
        <v>5.4746740352800962E-3</v>
      </c>
      <c r="AS208" s="130" t="s">
        <v>92</v>
      </c>
      <c r="AT208" s="133">
        <f>AT202</f>
        <v>-1.9</v>
      </c>
    </row>
    <row r="209" spans="1:46" s="127" customFormat="1" ht="12.75" x14ac:dyDescent="0.2">
      <c r="F209" s="128"/>
      <c r="M209" s="37"/>
      <c r="N209" s="38"/>
      <c r="O209" s="38"/>
      <c r="P209" s="38"/>
      <c r="Q209" s="38"/>
      <c r="R209" s="37"/>
      <c r="S209" s="37"/>
      <c r="T209" s="39"/>
      <c r="AG209" s="132">
        <f>AT204</f>
        <v>160</v>
      </c>
      <c r="AH209" s="127">
        <f>AT212*1.1</f>
        <v>4.9418219197204705</v>
      </c>
      <c r="AJ209" s="127">
        <f t="shared" si="6"/>
        <v>3.2207245447511164</v>
      </c>
      <c r="AK209" s="127">
        <f t="shared" si="7"/>
        <v>2.3299412558961272</v>
      </c>
      <c r="AL209" s="127">
        <f t="shared" si="9"/>
        <v>-1.3686685088200241E-3</v>
      </c>
      <c r="AN209" s="127">
        <f t="shared" si="8"/>
        <v>3.2207245447511168</v>
      </c>
      <c r="AO209" s="127">
        <f t="shared" si="10"/>
        <v>2.7373370176400481E-3</v>
      </c>
    </row>
    <row r="210" spans="1:46" s="127" customFormat="1" ht="12.75" x14ac:dyDescent="0.2">
      <c r="F210" s="128"/>
      <c r="M210" s="37"/>
      <c r="N210" s="38"/>
      <c r="O210" s="38"/>
      <c r="P210" s="38"/>
      <c r="Q210" s="38"/>
      <c r="R210" s="37"/>
      <c r="S210" s="37"/>
      <c r="T210" s="39"/>
      <c r="AG210" s="132">
        <f>AG209</f>
        <v>160</v>
      </c>
      <c r="AH210" s="127">
        <f>AT205*1.1</f>
        <v>-2.7508448332710422</v>
      </c>
      <c r="AK210" s="127">
        <f t="shared" si="7"/>
        <v>0</v>
      </c>
      <c r="AL210" s="127">
        <v>0</v>
      </c>
      <c r="AN210" s="127">
        <v>0</v>
      </c>
      <c r="AO210" s="127">
        <v>0</v>
      </c>
    </row>
    <row r="211" spans="1:46" s="127" customFormat="1" ht="12.75" x14ac:dyDescent="0.2">
      <c r="M211" s="37"/>
      <c r="N211" s="38"/>
      <c r="O211" s="38"/>
      <c r="P211" s="38"/>
      <c r="Q211" s="38"/>
      <c r="R211" s="37"/>
      <c r="S211" s="37"/>
      <c r="T211" s="39"/>
      <c r="AR211" s="130" t="s">
        <v>94</v>
      </c>
      <c r="AS211" s="130" t="s">
        <v>93</v>
      </c>
      <c r="AT211" s="132">
        <f>AT204</f>
        <v>160</v>
      </c>
    </row>
    <row r="212" spans="1:46" s="127" customFormat="1" ht="12.75" x14ac:dyDescent="0.2">
      <c r="M212" s="37"/>
      <c r="N212" s="38"/>
      <c r="O212" s="38"/>
      <c r="P212" s="38"/>
      <c r="Q212" s="38"/>
      <c r="R212" s="37"/>
      <c r="S212" s="37"/>
      <c r="T212" s="39"/>
      <c r="AR212" s="130"/>
      <c r="AS212" s="130" t="s">
        <v>92</v>
      </c>
      <c r="AT212" s="131">
        <f>C108</f>
        <v>4.4925653815640638</v>
      </c>
    </row>
    <row r="213" spans="1:46" s="127" customFormat="1" ht="12.75" x14ac:dyDescent="0.2">
      <c r="M213" s="37"/>
      <c r="N213" s="38"/>
      <c r="O213" s="38"/>
      <c r="P213" s="38"/>
      <c r="Q213" s="38"/>
      <c r="R213" s="37"/>
      <c r="S213" s="37"/>
      <c r="T213" s="39"/>
    </row>
    <row r="214" spans="1:46" s="127" customFormat="1" ht="12.75" x14ac:dyDescent="0.2">
      <c r="M214" s="37"/>
      <c r="N214" s="38"/>
      <c r="O214" s="38"/>
      <c r="P214" s="38"/>
      <c r="Q214" s="38"/>
      <c r="R214" s="37"/>
      <c r="S214" s="37"/>
      <c r="T214" s="39"/>
    </row>
    <row r="215" spans="1:46" s="127" customFormat="1" ht="12.75" x14ac:dyDescent="0.2">
      <c r="A215" s="145" t="s">
        <v>118</v>
      </c>
      <c r="B215" s="146"/>
      <c r="C215" s="146"/>
      <c r="D215" s="146"/>
      <c r="E215" s="146"/>
      <c r="F215" s="146"/>
      <c r="G215" s="147"/>
      <c r="H215" s="147"/>
      <c r="I215" s="147"/>
      <c r="J215" s="147"/>
      <c r="K215" s="148"/>
      <c r="M215" s="37"/>
      <c r="N215" s="38"/>
      <c r="O215" s="38"/>
      <c r="P215" s="38"/>
      <c r="Q215" s="38"/>
      <c r="R215" s="37"/>
      <c r="S215" s="37"/>
      <c r="T215" s="39"/>
    </row>
    <row r="216" spans="1:46" s="127" customFormat="1" ht="12.75" x14ac:dyDescent="0.2">
      <c r="A216" s="149"/>
      <c r="B216" s="149"/>
      <c r="C216" s="149"/>
      <c r="D216" s="150"/>
      <c r="E216" s="150"/>
      <c r="F216" s="151" t="s">
        <v>119</v>
      </c>
      <c r="G216" s="152" t="s">
        <v>120</v>
      </c>
      <c r="H216" s="153"/>
      <c r="I216" s="154"/>
      <c r="J216" s="154"/>
      <c r="K216" s="155"/>
      <c r="M216" s="37"/>
      <c r="N216" s="38"/>
      <c r="O216" s="38"/>
      <c r="P216" s="38"/>
      <c r="Q216" s="38"/>
      <c r="R216" s="37"/>
      <c r="S216" s="37"/>
      <c r="T216" s="39"/>
    </row>
    <row r="217" spans="1:46" s="127" customFormat="1" ht="12.75" x14ac:dyDescent="0.2">
      <c r="A217" s="14"/>
      <c r="B217" s="5"/>
      <c r="C217" s="5"/>
      <c r="D217" s="5"/>
      <c r="E217" s="7" t="s">
        <v>1</v>
      </c>
      <c r="F217" s="8" t="str">
        <f>$C$1</f>
        <v>R. Abbott</v>
      </c>
      <c r="G217" s="5"/>
      <c r="H217" s="15"/>
      <c r="I217" s="7" t="s">
        <v>8</v>
      </c>
      <c r="J217" s="16" t="str">
        <f>$G$2</f>
        <v>AA-SM-515-000</v>
      </c>
      <c r="K217" s="17"/>
      <c r="L217" s="18"/>
      <c r="M217" s="9"/>
      <c r="N217" s="9"/>
      <c r="O217" s="9"/>
      <c r="P217" s="9"/>
      <c r="Q217" s="38"/>
      <c r="R217" s="37"/>
      <c r="S217" s="37"/>
      <c r="T217" s="39"/>
    </row>
    <row r="218" spans="1:46" s="127" customFormat="1" ht="12.75" x14ac:dyDescent="0.2">
      <c r="A218" s="5"/>
      <c r="B218" s="5"/>
      <c r="C218" s="5"/>
      <c r="D218" s="5"/>
      <c r="E218" s="7" t="s">
        <v>2</v>
      </c>
      <c r="F218" s="15" t="str">
        <f>$C$2</f>
        <v xml:space="preserve"> </v>
      </c>
      <c r="G218" s="5"/>
      <c r="H218" s="15"/>
      <c r="I218" s="7" t="s">
        <v>9</v>
      </c>
      <c r="J218" s="17" t="str">
        <f>$G$3</f>
        <v>IR</v>
      </c>
      <c r="K218" s="17"/>
      <c r="L218" s="18"/>
      <c r="M218" s="9">
        <v>1</v>
      </c>
      <c r="N218" s="9"/>
      <c r="O218" s="9"/>
      <c r="P218" s="9"/>
      <c r="Q218" s="38"/>
      <c r="R218" s="37"/>
      <c r="S218" s="37"/>
      <c r="T218" s="39"/>
    </row>
    <row r="219" spans="1:46" s="127" customFormat="1" ht="12.75" x14ac:dyDescent="0.2">
      <c r="A219" s="5"/>
      <c r="B219" s="5"/>
      <c r="C219" s="5"/>
      <c r="D219" s="5"/>
      <c r="E219" s="7" t="s">
        <v>3</v>
      </c>
      <c r="F219" s="15" t="str">
        <f>$C$3</f>
        <v>05/03/2017</v>
      </c>
      <c r="G219" s="5"/>
      <c r="H219" s="15"/>
      <c r="I219" s="7" t="s">
        <v>6</v>
      </c>
      <c r="J219" s="8" t="str">
        <f>L219&amp;" of "&amp;$G$1</f>
        <v>5 of 17</v>
      </c>
      <c r="K219" s="15"/>
      <c r="L219" s="18">
        <f>SUM($M$1:M218)</f>
        <v>5</v>
      </c>
      <c r="M219" s="9"/>
      <c r="N219" s="9"/>
      <c r="O219" s="9"/>
      <c r="P219" s="9"/>
      <c r="Q219" s="38"/>
      <c r="R219" s="37"/>
      <c r="S219" s="37"/>
      <c r="T219" s="39"/>
    </row>
    <row r="220" spans="1:46" s="5" customFormat="1" ht="12.75" x14ac:dyDescent="0.2">
      <c r="A220" s="26"/>
      <c r="B220" s="26"/>
      <c r="C220" s="26"/>
      <c r="D220" s="26"/>
      <c r="E220" s="7" t="s">
        <v>29</v>
      </c>
      <c r="F220" s="15" t="str">
        <f>$C$5</f>
        <v>STANDARD SPREADSHEET METHOD</v>
      </c>
      <c r="I220" s="19"/>
      <c r="J220" s="8"/>
      <c r="M220" s="37"/>
      <c r="N220" s="38"/>
      <c r="O220" s="38"/>
      <c r="P220" s="38"/>
      <c r="Q220" s="38"/>
      <c r="R220" s="37"/>
      <c r="S220" s="37"/>
      <c r="T220" s="39"/>
    </row>
    <row r="221" spans="1:46" s="28" customFormat="1" x14ac:dyDescent="0.25">
      <c r="A221" s="70"/>
      <c r="B221" s="21" t="str">
        <f>$G$4</f>
        <v>SIMPLIFIED PART 23 AIRCRAFT LOADS</v>
      </c>
      <c r="C221" s="71"/>
      <c r="D221" s="71"/>
      <c r="E221" s="72"/>
      <c r="F221" s="71"/>
      <c r="G221" s="71"/>
      <c r="H221" s="71"/>
      <c r="I221" s="71"/>
      <c r="J221" s="71"/>
      <c r="K221" s="71"/>
      <c r="L221" s="30"/>
      <c r="M221" s="37"/>
      <c r="N221" s="38"/>
      <c r="O221" s="38"/>
      <c r="P221" s="38"/>
      <c r="Q221" s="38"/>
      <c r="R221" s="37"/>
      <c r="S221" s="37"/>
      <c r="T221" s="39"/>
    </row>
    <row r="222" spans="1:46" s="26" customFormat="1" ht="12.75" x14ac:dyDescent="0.2">
      <c r="A222" s="73"/>
      <c r="B222" s="73" t="s">
        <v>47</v>
      </c>
      <c r="C222" s="73"/>
      <c r="D222" s="73"/>
      <c r="E222" s="73"/>
      <c r="F222" s="73"/>
      <c r="G222" s="73"/>
      <c r="H222" s="73"/>
      <c r="I222" s="73"/>
      <c r="J222" s="73"/>
      <c r="K222" s="73"/>
      <c r="L222" s="29"/>
      <c r="M222" s="37"/>
      <c r="N222" s="38"/>
      <c r="O222" s="38"/>
      <c r="P222" s="38"/>
      <c r="Q222" s="38"/>
      <c r="R222" s="37"/>
      <c r="S222" s="37"/>
      <c r="T222" s="39"/>
    </row>
    <row r="223" spans="1:46" s="26" customFormat="1" ht="12.75" x14ac:dyDescent="0.2">
      <c r="A223" s="73"/>
      <c r="B223" s="114" t="s">
        <v>102</v>
      </c>
      <c r="C223" s="73"/>
      <c r="D223" s="76"/>
      <c r="E223" s="73"/>
      <c r="F223" s="73"/>
      <c r="G223" s="77"/>
      <c r="H223" s="73"/>
      <c r="I223" s="73"/>
      <c r="J223" s="73"/>
      <c r="K223" s="73"/>
      <c r="M223" s="37"/>
      <c r="N223" s="38"/>
      <c r="O223" s="38"/>
      <c r="P223" s="38"/>
      <c r="Q223" s="38"/>
      <c r="R223" s="37"/>
      <c r="S223" s="37"/>
      <c r="T223" s="39"/>
    </row>
    <row r="224" spans="1:46" s="26" customFormat="1" ht="12.75" x14ac:dyDescent="0.2">
      <c r="A224" s="73"/>
      <c r="B224" s="75"/>
      <c r="C224" s="73"/>
      <c r="D224" s="76"/>
      <c r="E224" s="73"/>
      <c r="F224" s="73"/>
      <c r="G224" s="73"/>
      <c r="H224" s="73"/>
      <c r="I224" s="73"/>
      <c r="J224" s="73"/>
      <c r="K224" s="73"/>
      <c r="M224" s="37"/>
      <c r="N224" s="38"/>
      <c r="O224" s="38"/>
      <c r="P224" s="38"/>
      <c r="Q224" s="38"/>
      <c r="R224" s="37"/>
      <c r="S224" s="37"/>
      <c r="T224" s="39"/>
      <c r="V224" s="40"/>
      <c r="W224" s="40"/>
      <c r="Y224" s="5"/>
      <c r="Z224" s="5"/>
      <c r="AA224" s="5"/>
      <c r="AB224" s="5"/>
      <c r="AC224" s="7"/>
      <c r="AD224" s="5"/>
      <c r="AE224" s="5"/>
      <c r="AF224" s="5"/>
      <c r="AG224" s="5"/>
      <c r="AH224" s="5"/>
      <c r="AI224" s="5"/>
    </row>
    <row r="225" spans="1:35" s="28" customFormat="1" ht="13.5" customHeight="1" x14ac:dyDescent="0.2">
      <c r="A225" s="73"/>
      <c r="B225" s="28" t="s">
        <v>86</v>
      </c>
      <c r="D225" s="76"/>
      <c r="E225" s="73"/>
      <c r="F225" s="73"/>
      <c r="G225" s="73"/>
      <c r="H225" s="73"/>
      <c r="I225" s="73"/>
      <c r="J225" s="73"/>
      <c r="K225" s="73"/>
      <c r="L225" s="30"/>
      <c r="M225" s="37"/>
      <c r="N225" s="38"/>
      <c r="O225" s="38"/>
      <c r="P225" s="38"/>
      <c r="Q225" s="38"/>
      <c r="R225" s="37"/>
      <c r="S225" s="37"/>
      <c r="T225" s="39"/>
      <c r="U225" s="30"/>
      <c r="V225" s="40"/>
      <c r="W225" s="40"/>
      <c r="X225" s="30"/>
      <c r="Y225" s="5"/>
      <c r="Z225" s="18"/>
      <c r="AA225" s="46"/>
      <c r="AB225" s="46"/>
      <c r="AC225" s="5"/>
      <c r="AD225" s="5"/>
      <c r="AE225" s="5"/>
      <c r="AF225" s="5"/>
      <c r="AG225" s="5"/>
      <c r="AH225" s="5"/>
      <c r="AI225" s="5"/>
    </row>
    <row r="226" spans="1:35" s="28" customFormat="1" ht="12.75" x14ac:dyDescent="0.2">
      <c r="A226" s="77"/>
      <c r="B226" s="80" t="s">
        <v>81</v>
      </c>
      <c r="C226" s="28" t="str">
        <f>[1]!xln(C227)</f>
        <v>3.8 × 12.7</v>
      </c>
      <c r="D226" s="77"/>
      <c r="E226" s="77"/>
      <c r="F226" s="77"/>
      <c r="G226" s="77"/>
      <c r="H226" s="77"/>
      <c r="I226" s="77"/>
      <c r="J226" s="77"/>
      <c r="K226" s="77"/>
      <c r="L226" s="30"/>
      <c r="M226" s="37"/>
      <c r="N226" s="38"/>
      <c r="O226" s="38"/>
      <c r="P226" s="38"/>
      <c r="Q226" s="38"/>
      <c r="R226" s="37"/>
      <c r="S226" s="37"/>
      <c r="T226" s="39"/>
      <c r="U226" s="30"/>
      <c r="V226" s="40"/>
      <c r="W226" s="40"/>
      <c r="X226" s="30"/>
      <c r="Y226" s="5"/>
      <c r="Z226" s="46"/>
      <c r="AA226" s="29"/>
      <c r="AB226" s="31"/>
      <c r="AC226" s="5"/>
      <c r="AD226" s="5"/>
      <c r="AE226" s="5"/>
      <c r="AF226" s="5"/>
      <c r="AG226" s="5"/>
      <c r="AH226" s="5"/>
      <c r="AI226" s="5"/>
    </row>
    <row r="227" spans="1:35" s="28" customFormat="1" ht="12.75" x14ac:dyDescent="0.2">
      <c r="A227" s="73"/>
      <c r="B227" s="76" t="s">
        <v>82</v>
      </c>
      <c r="C227" s="96">
        <f>C35*C19</f>
        <v>48.223350253807105</v>
      </c>
      <c r="D227" s="91" t="s">
        <v>106</v>
      </c>
      <c r="E227" s="73"/>
      <c r="F227" s="73"/>
      <c r="G227" s="73"/>
      <c r="H227" s="73"/>
      <c r="I227" s="73"/>
      <c r="J227" s="73"/>
      <c r="K227" s="73"/>
      <c r="L227" s="30"/>
      <c r="M227" s="37"/>
      <c r="N227" s="38"/>
      <c r="O227" s="38"/>
      <c r="P227" s="38"/>
      <c r="Q227" s="38"/>
      <c r="R227" s="37"/>
      <c r="S227" s="37"/>
      <c r="T227" s="39"/>
      <c r="U227" s="30"/>
      <c r="V227" s="40"/>
      <c r="W227" s="40"/>
      <c r="X227" s="40">
        <v>0</v>
      </c>
      <c r="Y227" s="5"/>
      <c r="Z227" s="18"/>
      <c r="AA227" s="29"/>
      <c r="AB227" s="40">
        <f>C227</f>
        <v>48.223350253807105</v>
      </c>
      <c r="AC227" s="5">
        <f t="shared" ref="AC227" si="11">IF(AB227&lt;47,3.66*AB227^0.5,0.534*AB227)</f>
        <v>25.751269035532996</v>
      </c>
      <c r="AD227" s="18">
        <f t="shared" ref="AD227" si="12">4.8+0.534*AB227</f>
        <v>30.551269035532997</v>
      </c>
      <c r="AE227" s="48"/>
      <c r="AF227" s="47"/>
      <c r="AG227" s="47"/>
      <c r="AH227" s="47"/>
      <c r="AI227" s="5"/>
    </row>
    <row r="228" spans="1:35" s="28" customFormat="1" ht="12.75" x14ac:dyDescent="0.2">
      <c r="A228" s="73"/>
      <c r="B228" s="80"/>
      <c r="C228" s="81"/>
      <c r="D228" s="73"/>
      <c r="E228" s="73"/>
      <c r="F228" s="73"/>
      <c r="G228" s="73"/>
      <c r="H228" s="73"/>
      <c r="I228" s="73"/>
      <c r="J228" s="73"/>
      <c r="K228" s="73"/>
      <c r="L228" s="30"/>
      <c r="M228" s="37"/>
      <c r="N228" s="38"/>
      <c r="O228" s="38"/>
      <c r="P228" s="38"/>
      <c r="Q228" s="38"/>
      <c r="R228" s="37"/>
      <c r="S228" s="37"/>
      <c r="T228" s="39"/>
      <c r="U228" s="30"/>
      <c r="V228" s="40"/>
      <c r="W228" s="40"/>
      <c r="X228" s="40">
        <v>5</v>
      </c>
      <c r="Y228" s="5"/>
      <c r="Z228" s="18"/>
      <c r="AA228" s="29"/>
      <c r="AB228" s="31"/>
      <c r="AC228" s="47"/>
      <c r="AD228" s="47"/>
      <c r="AE228" s="47"/>
      <c r="AF228" s="47"/>
      <c r="AG228" s="47"/>
      <c r="AH228" s="47"/>
      <c r="AI228" s="23"/>
    </row>
    <row r="229" spans="1:35" s="28" customFormat="1" ht="12.75" x14ac:dyDescent="0.2">
      <c r="A229" s="79"/>
      <c r="B229" s="120" t="s">
        <v>103</v>
      </c>
      <c r="C229" s="79"/>
      <c r="D229" s="73"/>
      <c r="E229" s="73"/>
      <c r="F229" s="73"/>
      <c r="G229" s="73"/>
      <c r="H229" s="81"/>
      <c r="I229" s="73"/>
      <c r="J229" s="73"/>
      <c r="K229" s="73"/>
      <c r="L229" s="30"/>
      <c r="M229" s="27"/>
      <c r="N229" s="27"/>
      <c r="O229" s="27"/>
      <c r="P229" s="27"/>
      <c r="Q229" s="27"/>
      <c r="R229" s="27"/>
      <c r="S229" s="27"/>
      <c r="T229" s="27"/>
      <c r="U229" s="30"/>
      <c r="V229" s="40"/>
      <c r="W229" s="40"/>
      <c r="X229" s="40">
        <v>7</v>
      </c>
      <c r="Y229" s="5"/>
      <c r="Z229" s="18"/>
      <c r="AA229" s="29"/>
      <c r="AB229" s="31"/>
      <c r="AC229" s="51"/>
      <c r="AD229" s="51"/>
      <c r="AE229" s="51"/>
      <c r="AF229" s="51"/>
      <c r="AG229" s="51"/>
      <c r="AH229" s="51"/>
      <c r="AI229" s="23"/>
    </row>
    <row r="230" spans="1:35" s="28" customFormat="1" ht="12.75" x14ac:dyDescent="0.2">
      <c r="A230" s="79"/>
      <c r="B230" s="80"/>
      <c r="D230" s="76"/>
      <c r="E230" s="73"/>
      <c r="F230" s="82"/>
      <c r="G230" s="73"/>
      <c r="H230" s="82"/>
      <c r="I230" s="77"/>
      <c r="J230" s="77"/>
      <c r="K230" s="73"/>
      <c r="L230" s="30"/>
      <c r="M230" s="27"/>
      <c r="N230" s="27"/>
      <c r="O230" s="27"/>
      <c r="P230" s="27"/>
      <c r="Q230" s="27"/>
      <c r="R230" s="27"/>
      <c r="S230" s="27"/>
      <c r="T230" s="27"/>
      <c r="U230" s="30"/>
      <c r="V230" s="40"/>
      <c r="W230" s="40"/>
      <c r="X230" s="40">
        <v>9</v>
      </c>
      <c r="Y230" s="5">
        <f t="shared" ref="Y230:Y251" si="13">IF(X230&lt;47,3.66*X230^0.5,0.534*X230)</f>
        <v>10.98</v>
      </c>
      <c r="Z230" s="18">
        <f t="shared" ref="Z230:Z251" si="14">4.8+0.534*X230</f>
        <v>9.6059999999999999</v>
      </c>
      <c r="AA230" s="18"/>
      <c r="AB230" s="43"/>
      <c r="AC230" s="5"/>
      <c r="AD230" s="5"/>
      <c r="AE230" s="5"/>
      <c r="AF230" s="5"/>
      <c r="AG230" s="5"/>
      <c r="AH230" s="5"/>
      <c r="AI230" s="5"/>
    </row>
    <row r="231" spans="1:35" s="28" customFormat="1" ht="12.75" x14ac:dyDescent="0.2">
      <c r="A231" s="79"/>
      <c r="B231" s="73"/>
      <c r="C231" s="104"/>
      <c r="D231" s="83"/>
      <c r="E231" s="73"/>
      <c r="F231" s="82"/>
      <c r="G231" s="73"/>
      <c r="H231" s="82"/>
      <c r="I231" s="77"/>
      <c r="J231" s="77"/>
      <c r="K231" s="73"/>
      <c r="L231" s="30"/>
      <c r="M231" s="27"/>
      <c r="N231" s="27"/>
      <c r="O231" s="27"/>
      <c r="P231" s="27"/>
      <c r="Q231" s="27"/>
      <c r="R231" s="27"/>
      <c r="S231" s="27"/>
      <c r="T231" s="27"/>
      <c r="U231" s="30"/>
      <c r="V231" s="40"/>
      <c r="W231" s="40"/>
      <c r="X231" s="40">
        <v>11</v>
      </c>
      <c r="Y231" s="5">
        <f t="shared" si="13"/>
        <v>12.138846732700763</v>
      </c>
      <c r="Z231" s="18">
        <f t="shared" si="14"/>
        <v>10.673999999999999</v>
      </c>
      <c r="AA231" s="51"/>
      <c r="AB231" s="40">
        <f>AB227</f>
        <v>48.223350253807105</v>
      </c>
      <c r="AC231" s="18">
        <v>0</v>
      </c>
      <c r="AD231" s="5"/>
      <c r="AE231" s="5"/>
      <c r="AF231" s="5"/>
      <c r="AG231" s="5"/>
      <c r="AH231" s="51"/>
      <c r="AI231" s="5"/>
    </row>
    <row r="232" spans="1:35" s="28" customFormat="1" ht="12.75" x14ac:dyDescent="0.2">
      <c r="A232" s="73"/>
      <c r="B232" s="73"/>
      <c r="C232" s="83"/>
      <c r="D232" s="84"/>
      <c r="E232" s="73"/>
      <c r="F232" s="84"/>
      <c r="G232" s="73"/>
      <c r="H232" s="84"/>
      <c r="I232" s="77"/>
      <c r="J232" s="77"/>
      <c r="K232" s="73"/>
      <c r="L232" s="30"/>
      <c r="M232" s="27"/>
      <c r="N232" s="27"/>
      <c r="O232" s="27"/>
      <c r="P232" s="27"/>
      <c r="Q232" s="27"/>
      <c r="R232" s="27"/>
      <c r="S232" s="27"/>
      <c r="T232" s="27"/>
      <c r="U232" s="30"/>
      <c r="V232" s="40"/>
      <c r="W232" s="40"/>
      <c r="X232" s="40">
        <v>13</v>
      </c>
      <c r="Y232" s="5">
        <f t="shared" si="13"/>
        <v>13.196317668198201</v>
      </c>
      <c r="Z232" s="18">
        <f t="shared" si="14"/>
        <v>11.742000000000001</v>
      </c>
      <c r="AA232" s="18"/>
      <c r="AB232" s="40">
        <f>AB231</f>
        <v>48.223350253807105</v>
      </c>
      <c r="AC232" s="18">
        <f>AC227</f>
        <v>25.751269035532996</v>
      </c>
      <c r="AD232" s="18"/>
      <c r="AE232" s="18"/>
      <c r="AF232" s="18"/>
      <c r="AG232" s="18"/>
      <c r="AH232" s="51"/>
      <c r="AI232" s="5"/>
    </row>
    <row r="233" spans="1:35" s="28" customFormat="1" ht="12.75" x14ac:dyDescent="0.2">
      <c r="A233" s="79"/>
      <c r="B233" s="73"/>
      <c r="C233" s="83"/>
      <c r="D233" s="84"/>
      <c r="E233" s="73"/>
      <c r="F233" s="84"/>
      <c r="G233" s="73"/>
      <c r="H233" s="84"/>
      <c r="I233" s="77"/>
      <c r="J233" s="77"/>
      <c r="K233" s="73"/>
      <c r="L233" s="30"/>
      <c r="M233" s="27"/>
      <c r="N233" s="27"/>
      <c r="O233" s="27"/>
      <c r="P233" s="27"/>
      <c r="Q233" s="27"/>
      <c r="R233" s="27"/>
      <c r="S233" s="27"/>
      <c r="T233" s="27"/>
      <c r="U233" s="30"/>
      <c r="V233" s="40"/>
      <c r="W233" s="40"/>
      <c r="X233" s="40">
        <v>15</v>
      </c>
      <c r="Y233" s="5">
        <f t="shared" si="13"/>
        <v>14.175119047119146</v>
      </c>
      <c r="Z233" s="18">
        <f t="shared" si="14"/>
        <v>12.809999999999999</v>
      </c>
      <c r="AA233" s="52"/>
      <c r="AB233" s="18">
        <v>0</v>
      </c>
      <c r="AC233" s="18">
        <f>AC227</f>
        <v>25.751269035532996</v>
      </c>
      <c r="AD233" s="18"/>
      <c r="AE233" s="18"/>
      <c r="AF233" s="18"/>
      <c r="AG233" s="18"/>
      <c r="AH233" s="51"/>
      <c r="AI233" s="5"/>
    </row>
    <row r="234" spans="1:35" s="28" customFormat="1" ht="12.75" x14ac:dyDescent="0.2">
      <c r="A234" s="79"/>
      <c r="B234" s="79"/>
      <c r="C234" s="83"/>
      <c r="D234" s="84"/>
      <c r="E234" s="73"/>
      <c r="F234" s="84"/>
      <c r="G234" s="73"/>
      <c r="H234" s="84"/>
      <c r="I234" s="77"/>
      <c r="J234" s="77"/>
      <c r="K234" s="73"/>
      <c r="L234" s="30"/>
      <c r="M234" s="27"/>
      <c r="N234" s="27"/>
      <c r="O234" s="27"/>
      <c r="P234" s="27"/>
      <c r="Q234" s="27"/>
      <c r="R234" s="27"/>
      <c r="S234" s="27"/>
      <c r="T234" s="27"/>
      <c r="U234" s="30"/>
      <c r="V234" s="40"/>
      <c r="W234" s="40"/>
      <c r="X234" s="40">
        <v>17</v>
      </c>
      <c r="Y234" s="5">
        <f t="shared" si="13"/>
        <v>15.090566589760638</v>
      </c>
      <c r="Z234" s="18">
        <f t="shared" si="14"/>
        <v>13.878</v>
      </c>
      <c r="AA234" s="52"/>
      <c r="AB234" s="18"/>
      <c r="AC234" s="18"/>
      <c r="AD234" s="18"/>
      <c r="AE234" s="18"/>
      <c r="AF234" s="18"/>
      <c r="AG234" s="18"/>
      <c r="AH234" s="5"/>
      <c r="AI234" s="5"/>
    </row>
    <row r="235" spans="1:35" s="28" customFormat="1" ht="12.75" x14ac:dyDescent="0.2">
      <c r="A235" s="79"/>
      <c r="B235" s="79"/>
      <c r="C235" s="83"/>
      <c r="D235" s="84"/>
      <c r="E235" s="73"/>
      <c r="F235" s="84"/>
      <c r="G235" s="73"/>
      <c r="H235" s="84"/>
      <c r="I235" s="77"/>
      <c r="J235" s="77"/>
      <c r="K235" s="79"/>
      <c r="L235" s="30"/>
      <c r="M235" s="27"/>
      <c r="N235" s="27"/>
      <c r="O235" s="27"/>
      <c r="P235" s="27"/>
      <c r="Q235" s="27"/>
      <c r="R235" s="27"/>
      <c r="S235" s="27"/>
      <c r="T235" s="27"/>
      <c r="U235" s="30"/>
      <c r="V235" s="40"/>
      <c r="W235" s="40"/>
      <c r="X235" s="40">
        <v>21</v>
      </c>
      <c r="Y235" s="5">
        <f t="shared" si="13"/>
        <v>16.772227043538376</v>
      </c>
      <c r="Z235" s="18">
        <f t="shared" si="14"/>
        <v>16.013999999999999</v>
      </c>
      <c r="AA235" s="18"/>
      <c r="AB235" s="40">
        <f>AB231</f>
        <v>48.223350253807105</v>
      </c>
      <c r="AC235" s="18">
        <f>-AC231</f>
        <v>0</v>
      </c>
      <c r="AD235" s="18"/>
      <c r="AE235" s="18"/>
      <c r="AF235" s="18"/>
      <c r="AG235" s="18"/>
      <c r="AH235" s="5"/>
      <c r="AI235" s="5"/>
    </row>
    <row r="236" spans="1:35" s="28" customFormat="1" ht="12.75" x14ac:dyDescent="0.2">
      <c r="A236" s="79"/>
      <c r="B236" s="79"/>
      <c r="C236" s="83"/>
      <c r="D236" s="84"/>
      <c r="E236" s="73"/>
      <c r="F236" s="84"/>
      <c r="G236" s="73"/>
      <c r="H236" s="84"/>
      <c r="I236" s="77"/>
      <c r="J236" s="77"/>
      <c r="K236" s="79"/>
      <c r="L236" s="30"/>
      <c r="M236" s="27"/>
      <c r="N236" s="27"/>
      <c r="O236" s="27"/>
      <c r="P236" s="27"/>
      <c r="Q236" s="27"/>
      <c r="R236" s="27"/>
      <c r="S236" s="27"/>
      <c r="T236" s="27"/>
      <c r="U236" s="30"/>
      <c r="V236" s="40"/>
      <c r="W236" s="40"/>
      <c r="X236" s="40">
        <v>25</v>
      </c>
      <c r="Y236" s="5">
        <f t="shared" si="13"/>
        <v>18.3</v>
      </c>
      <c r="Z236" s="18">
        <f t="shared" si="14"/>
        <v>18.150000000000002</v>
      </c>
      <c r="AA236" s="18"/>
      <c r="AB236" s="40">
        <f>AB232</f>
        <v>48.223350253807105</v>
      </c>
      <c r="AC236" s="18">
        <f>AD227</f>
        <v>30.551269035532997</v>
      </c>
      <c r="AD236" s="18"/>
      <c r="AE236" s="18"/>
      <c r="AF236" s="18"/>
      <c r="AG236" s="18"/>
      <c r="AH236" s="5"/>
      <c r="AI236" s="5"/>
    </row>
    <row r="237" spans="1:35" s="28" customFormat="1" ht="12.75" x14ac:dyDescent="0.2">
      <c r="A237" s="73"/>
      <c r="B237" s="73"/>
      <c r="C237" s="73"/>
      <c r="D237" s="73"/>
      <c r="E237" s="73"/>
      <c r="F237" s="73"/>
      <c r="G237" s="73"/>
      <c r="H237" s="73"/>
      <c r="I237" s="73"/>
      <c r="J237" s="73"/>
      <c r="K237" s="73"/>
      <c r="L237" s="30"/>
      <c r="M237" s="27"/>
      <c r="N237" s="27"/>
      <c r="O237" s="27"/>
      <c r="P237" s="27"/>
      <c r="Q237" s="27"/>
      <c r="R237" s="27"/>
      <c r="S237" s="27"/>
      <c r="T237" s="27"/>
      <c r="U237" s="30"/>
      <c r="V237" s="40"/>
      <c r="W237" s="40"/>
      <c r="X237" s="40">
        <v>29</v>
      </c>
      <c r="Y237" s="5">
        <f t="shared" si="13"/>
        <v>19.709703194112283</v>
      </c>
      <c r="Z237" s="18">
        <f t="shared" si="14"/>
        <v>20.286000000000001</v>
      </c>
      <c r="AA237" s="5"/>
      <c r="AB237" s="18">
        <f>-AB233</f>
        <v>0</v>
      </c>
      <c r="AC237" s="52">
        <f>AD227</f>
        <v>30.551269035532997</v>
      </c>
      <c r="AD237" s="51"/>
      <c r="AE237" s="51"/>
      <c r="AF237" s="51"/>
      <c r="AG237" s="51"/>
      <c r="AH237" s="51"/>
      <c r="AI237" s="23"/>
    </row>
    <row r="238" spans="1:35" s="28" customFormat="1" ht="12.75" x14ac:dyDescent="0.2">
      <c r="A238" s="73"/>
      <c r="B238" s="73"/>
      <c r="C238" s="73"/>
      <c r="D238" s="73"/>
      <c r="E238" s="73"/>
      <c r="F238" s="73"/>
      <c r="G238" s="73"/>
      <c r="H238" s="73"/>
      <c r="I238" s="73"/>
      <c r="J238" s="73"/>
      <c r="K238" s="73"/>
      <c r="L238" s="30"/>
      <c r="M238" s="27"/>
      <c r="N238" s="27"/>
      <c r="O238" s="27"/>
      <c r="P238" s="27"/>
      <c r="Q238" s="27"/>
      <c r="R238" s="27"/>
      <c r="S238" s="27"/>
      <c r="T238" s="27"/>
      <c r="U238" s="30"/>
      <c r="V238" s="40"/>
      <c r="W238" s="40"/>
      <c r="X238" s="40">
        <v>33</v>
      </c>
      <c r="Y238" s="5">
        <f t="shared" si="13"/>
        <v>21.025099286329187</v>
      </c>
      <c r="Z238" s="18">
        <f t="shared" si="14"/>
        <v>22.422000000000001</v>
      </c>
      <c r="AA238" s="18"/>
      <c r="AB238" s="18"/>
      <c r="AC238" s="18"/>
      <c r="AD238" s="5"/>
      <c r="AE238" s="45"/>
      <c r="AF238" s="45"/>
      <c r="AG238" s="45"/>
      <c r="AH238" s="45"/>
      <c r="AI238" s="44"/>
    </row>
    <row r="239" spans="1:35" s="28" customFormat="1" ht="12.75" x14ac:dyDescent="0.2">
      <c r="A239" s="80"/>
      <c r="B239" s="77"/>
      <c r="C239" s="77"/>
      <c r="D239" s="85"/>
      <c r="E239" s="73"/>
      <c r="F239" s="73"/>
      <c r="G239" s="73"/>
      <c r="H239" s="73"/>
      <c r="I239" s="73"/>
      <c r="J239" s="73"/>
      <c r="K239" s="73"/>
      <c r="L239" s="30"/>
      <c r="M239" s="27"/>
      <c r="N239" s="27"/>
      <c r="O239" s="27"/>
      <c r="P239" s="27"/>
      <c r="Q239" s="27"/>
      <c r="R239" s="27"/>
      <c r="S239" s="27"/>
      <c r="T239" s="27"/>
      <c r="U239" s="30"/>
      <c r="V239" s="40"/>
      <c r="W239" s="40"/>
      <c r="X239" s="40">
        <v>37</v>
      </c>
      <c r="Y239" s="5">
        <f t="shared" si="13"/>
        <v>22.262910860891484</v>
      </c>
      <c r="Z239" s="18">
        <f t="shared" si="14"/>
        <v>24.558000000000003</v>
      </c>
      <c r="AA239" s="18"/>
      <c r="AB239" s="18"/>
      <c r="AC239" s="18"/>
      <c r="AD239" s="18"/>
      <c r="AE239" s="45"/>
      <c r="AF239" s="45"/>
      <c r="AG239" s="45"/>
      <c r="AH239" s="45"/>
      <c r="AI239" s="44"/>
    </row>
    <row r="240" spans="1:35" s="28" customFormat="1" ht="12.75" x14ac:dyDescent="0.2">
      <c r="A240" s="76"/>
      <c r="B240" s="86"/>
      <c r="C240" s="87"/>
      <c r="D240" s="88"/>
      <c r="E240" s="73"/>
      <c r="F240" s="76"/>
      <c r="G240" s="78"/>
      <c r="H240" s="73"/>
      <c r="I240" s="77"/>
      <c r="J240" s="73"/>
      <c r="K240" s="73"/>
      <c r="L240" s="30"/>
      <c r="M240" s="27"/>
      <c r="N240" s="27"/>
      <c r="O240" s="27"/>
      <c r="P240" s="27"/>
      <c r="Q240" s="27"/>
      <c r="R240" s="27"/>
      <c r="S240" s="27"/>
      <c r="T240" s="27"/>
      <c r="U240" s="30"/>
      <c r="V240" s="40"/>
      <c r="W240" s="40"/>
      <c r="X240" s="40">
        <v>41</v>
      </c>
      <c r="Y240" s="5">
        <f t="shared" si="13"/>
        <v>23.435434709004227</v>
      </c>
      <c r="Z240" s="18">
        <f t="shared" si="14"/>
        <v>26.694000000000003</v>
      </c>
      <c r="AA240" s="18"/>
      <c r="AB240" s="18"/>
      <c r="AC240" s="18"/>
      <c r="AD240" s="18"/>
      <c r="AE240" s="45"/>
      <c r="AF240" s="45"/>
      <c r="AG240" s="45"/>
      <c r="AH240" s="45"/>
      <c r="AI240" s="44"/>
    </row>
    <row r="241" spans="1:35" s="28" customFormat="1" ht="12.75" x14ac:dyDescent="0.2">
      <c r="A241" s="80"/>
      <c r="B241" s="77"/>
      <c r="C241" s="77"/>
      <c r="D241" s="88"/>
      <c r="E241" s="73"/>
      <c r="F241" s="76"/>
      <c r="G241" s="73"/>
      <c r="H241" s="73"/>
      <c r="I241" s="77"/>
      <c r="J241" s="81"/>
      <c r="K241" s="81"/>
      <c r="L241" s="30"/>
      <c r="M241" s="27"/>
      <c r="N241" s="27"/>
      <c r="O241" s="27"/>
      <c r="P241" s="27"/>
      <c r="Q241" s="27"/>
      <c r="R241" s="27"/>
      <c r="S241" s="27"/>
      <c r="T241" s="27"/>
      <c r="U241" s="30"/>
      <c r="V241" s="40"/>
      <c r="W241" s="40"/>
      <c r="X241" s="40">
        <f>X240+2</f>
        <v>43</v>
      </c>
      <c r="Y241" s="5">
        <f t="shared" si="13"/>
        <v>24.000224998945324</v>
      </c>
      <c r="Z241" s="18">
        <f t="shared" si="14"/>
        <v>27.762</v>
      </c>
      <c r="AA241" s="18"/>
      <c r="AB241" s="18"/>
      <c r="AC241" s="18"/>
      <c r="AD241" s="5"/>
      <c r="AE241" s="45"/>
      <c r="AF241" s="45"/>
      <c r="AG241" s="45"/>
      <c r="AH241" s="45"/>
      <c r="AI241" s="44"/>
    </row>
    <row r="242" spans="1:35" s="28" customFormat="1" ht="12.75" x14ac:dyDescent="0.2">
      <c r="A242" s="80"/>
      <c r="B242" s="89"/>
      <c r="C242" s="73"/>
      <c r="D242" s="73"/>
      <c r="E242" s="73"/>
      <c r="F242" s="80"/>
      <c r="G242" s="81"/>
      <c r="H242" s="73"/>
      <c r="I242" s="77"/>
      <c r="J242" s="81"/>
      <c r="K242" s="81"/>
      <c r="L242" s="30"/>
      <c r="M242" s="27"/>
      <c r="N242" s="27"/>
      <c r="O242" s="27"/>
      <c r="P242" s="27"/>
      <c r="Q242" s="27"/>
      <c r="R242" s="27"/>
      <c r="S242" s="27"/>
      <c r="T242" s="27"/>
      <c r="U242" s="30"/>
      <c r="V242" s="40"/>
      <c r="W242" s="40"/>
      <c r="X242" s="40">
        <f t="shared" ref="X242:X244" si="15">X241+2</f>
        <v>45</v>
      </c>
      <c r="Y242" s="5">
        <f t="shared" si="13"/>
        <v>24.552026392947692</v>
      </c>
      <c r="Z242" s="18">
        <f t="shared" si="14"/>
        <v>28.830000000000002</v>
      </c>
      <c r="AA242" s="18"/>
      <c r="AB242" s="18"/>
      <c r="AC242" s="18"/>
      <c r="AD242" s="5"/>
      <c r="AE242" s="45"/>
      <c r="AF242" s="45"/>
      <c r="AG242" s="45"/>
      <c r="AH242" s="45"/>
      <c r="AI242" s="44"/>
    </row>
    <row r="243" spans="1:35" s="28" customFormat="1" ht="12.75" x14ac:dyDescent="0.2">
      <c r="A243" s="73"/>
      <c r="B243" s="77"/>
      <c r="C243" s="77"/>
      <c r="D243" s="90"/>
      <c r="E243" s="73"/>
      <c r="F243" s="80"/>
      <c r="G243" s="77"/>
      <c r="H243" s="77"/>
      <c r="I243" s="73"/>
      <c r="J243" s="73"/>
      <c r="K243" s="73"/>
      <c r="L243" s="30"/>
      <c r="M243" s="27"/>
      <c r="N243" s="27"/>
      <c r="O243" s="27"/>
      <c r="P243" s="27"/>
      <c r="Q243" s="27"/>
      <c r="R243" s="27"/>
      <c r="S243" s="27"/>
      <c r="T243" s="27"/>
      <c r="U243" s="30"/>
      <c r="V243" s="40"/>
      <c r="W243" s="40"/>
      <c r="X243" s="40">
        <f t="shared" si="15"/>
        <v>47</v>
      </c>
      <c r="Y243" s="5">
        <f t="shared" si="13"/>
        <v>25.098000000000003</v>
      </c>
      <c r="Z243" s="18">
        <f t="shared" si="14"/>
        <v>29.898000000000003</v>
      </c>
      <c r="AA243" s="5"/>
      <c r="AB243" s="5"/>
      <c r="AC243" s="5"/>
      <c r="AD243" s="40"/>
      <c r="AE243" s="43"/>
      <c r="AF243" s="54"/>
      <c r="AG243" s="42"/>
      <c r="AH243" s="5"/>
      <c r="AI243" s="5"/>
    </row>
    <row r="244" spans="1:35" s="28" customFormat="1" ht="12.75" x14ac:dyDescent="0.2">
      <c r="A244" s="73"/>
      <c r="B244" s="73"/>
      <c r="C244" s="73"/>
      <c r="D244" s="73"/>
      <c r="E244" s="73"/>
      <c r="F244" s="80"/>
      <c r="G244" s="77"/>
      <c r="H244" s="77"/>
      <c r="I244" s="73"/>
      <c r="J244" s="73"/>
      <c r="K244" s="73"/>
      <c r="L244" s="30"/>
      <c r="M244" s="27"/>
      <c r="N244" s="27"/>
      <c r="O244" s="27"/>
      <c r="P244" s="27"/>
      <c r="Q244" s="27"/>
      <c r="R244" s="27"/>
      <c r="S244" s="27"/>
      <c r="T244" s="27"/>
      <c r="U244" s="30"/>
      <c r="V244" s="40"/>
      <c r="W244" s="40"/>
      <c r="X244" s="40">
        <f t="shared" si="15"/>
        <v>49</v>
      </c>
      <c r="Y244" s="5">
        <f t="shared" si="13"/>
        <v>26.166</v>
      </c>
      <c r="Z244" s="18">
        <f t="shared" si="14"/>
        <v>30.966000000000001</v>
      </c>
      <c r="AA244" s="18"/>
      <c r="AB244" s="18"/>
      <c r="AC244" s="18"/>
      <c r="AD244" s="5"/>
      <c r="AE244" s="41"/>
      <c r="AF244" s="41"/>
      <c r="AG244" s="41"/>
      <c r="AH244" s="41"/>
      <c r="AI244" s="41"/>
    </row>
    <row r="245" spans="1:35" s="28" customFormat="1" ht="12.75" x14ac:dyDescent="0.2">
      <c r="A245" s="73"/>
      <c r="B245" s="91"/>
      <c r="C245" s="77"/>
      <c r="D245" s="90"/>
      <c r="E245" s="73"/>
      <c r="F245" s="73"/>
      <c r="G245" s="73"/>
      <c r="H245" s="73"/>
      <c r="I245" s="73"/>
      <c r="J245" s="73"/>
      <c r="K245" s="73"/>
      <c r="L245" s="30"/>
      <c r="M245" s="27"/>
      <c r="N245" s="27"/>
      <c r="O245" s="27"/>
      <c r="P245" s="27"/>
      <c r="Q245" s="27"/>
      <c r="R245" s="27"/>
      <c r="S245" s="27"/>
      <c r="T245" s="27"/>
      <c r="U245" s="30"/>
      <c r="V245" s="40"/>
      <c r="W245" s="40"/>
      <c r="X245" s="40">
        <f>X244+10</f>
        <v>59</v>
      </c>
      <c r="Y245" s="5">
        <f t="shared" si="13"/>
        <v>31.506</v>
      </c>
      <c r="Z245" s="18">
        <f t="shared" si="14"/>
        <v>36.305999999999997</v>
      </c>
      <c r="AA245" s="18"/>
      <c r="AB245" s="18"/>
      <c r="AC245" s="18"/>
      <c r="AD245" s="18"/>
      <c r="AE245" s="41"/>
      <c r="AF245" s="41"/>
      <c r="AG245" s="41"/>
      <c r="AH245" s="41"/>
      <c r="AI245" s="41"/>
    </row>
    <row r="246" spans="1:35" s="28" customFormat="1" ht="12.75" x14ac:dyDescent="0.2">
      <c r="A246" s="73"/>
      <c r="B246" s="73"/>
      <c r="C246" s="73"/>
      <c r="D246" s="73"/>
      <c r="E246" s="73"/>
      <c r="F246" s="73"/>
      <c r="G246" s="73"/>
      <c r="H246" s="73"/>
      <c r="I246" s="73"/>
      <c r="J246" s="73"/>
      <c r="K246" s="73"/>
      <c r="L246" s="30"/>
      <c r="M246" s="27"/>
      <c r="N246" s="27"/>
      <c r="O246" s="27"/>
      <c r="P246" s="27"/>
      <c r="Q246" s="27"/>
      <c r="R246" s="27"/>
      <c r="S246" s="27"/>
      <c r="T246" s="27"/>
      <c r="U246" s="30"/>
      <c r="V246" s="40"/>
      <c r="W246" s="40"/>
      <c r="X246" s="40">
        <f t="shared" ref="X246:X249" si="16">X245+10</f>
        <v>69</v>
      </c>
      <c r="Y246" s="5">
        <f t="shared" si="13"/>
        <v>36.846000000000004</v>
      </c>
      <c r="Z246" s="18">
        <f t="shared" si="14"/>
        <v>41.646000000000001</v>
      </c>
      <c r="AA246" s="18"/>
      <c r="AB246" s="18"/>
      <c r="AC246" s="18"/>
      <c r="AD246" s="5"/>
      <c r="AE246" s="41"/>
      <c r="AF246" s="41"/>
      <c r="AG246" s="41"/>
      <c r="AH246" s="41"/>
      <c r="AI246" s="41"/>
    </row>
    <row r="247" spans="1:35" s="28" customFormat="1" ht="12.75" x14ac:dyDescent="0.2">
      <c r="A247" s="80"/>
      <c r="B247" s="76"/>
      <c r="C247" s="73"/>
      <c r="D247" s="73"/>
      <c r="E247" s="73"/>
      <c r="F247" s="73"/>
      <c r="G247" s="73"/>
      <c r="H247" s="73"/>
      <c r="I247" s="73"/>
      <c r="J247" s="87"/>
      <c r="K247" s="73"/>
      <c r="L247" s="30"/>
      <c r="M247" s="27"/>
      <c r="N247" s="27"/>
      <c r="O247" s="27"/>
      <c r="P247" s="27"/>
      <c r="Q247" s="27"/>
      <c r="R247" s="27"/>
      <c r="S247" s="27"/>
      <c r="T247" s="27"/>
      <c r="U247" s="30"/>
      <c r="V247" s="40"/>
      <c r="W247" s="40"/>
      <c r="X247" s="40">
        <f t="shared" si="16"/>
        <v>79</v>
      </c>
      <c r="Y247" s="5">
        <f t="shared" si="13"/>
        <v>42.186</v>
      </c>
      <c r="Z247" s="18">
        <f t="shared" si="14"/>
        <v>46.985999999999997</v>
      </c>
      <c r="AA247" s="18"/>
      <c r="AB247" s="18"/>
      <c r="AC247" s="18"/>
      <c r="AD247" s="5"/>
      <c r="AE247" s="41"/>
      <c r="AF247" s="41"/>
      <c r="AG247" s="41"/>
      <c r="AH247" s="41"/>
      <c r="AI247" s="41"/>
    </row>
    <row r="248" spans="1:35" s="28" customFormat="1" ht="12.75" x14ac:dyDescent="0.2">
      <c r="A248" s="73"/>
      <c r="B248" s="92"/>
      <c r="C248" s="93"/>
      <c r="D248" s="88"/>
      <c r="E248" s="73"/>
      <c r="F248" s="73"/>
      <c r="G248" s="73"/>
      <c r="H248" s="73"/>
      <c r="I248" s="73"/>
      <c r="J248" s="73"/>
      <c r="K248" s="73"/>
      <c r="L248" s="30"/>
      <c r="M248" s="27"/>
      <c r="N248" s="27"/>
      <c r="O248" s="27"/>
      <c r="P248" s="27"/>
      <c r="Q248" s="27"/>
      <c r="R248" s="27"/>
      <c r="S248" s="27"/>
      <c r="T248" s="27"/>
      <c r="U248" s="30"/>
      <c r="V248" s="40"/>
      <c r="W248" s="40"/>
      <c r="X248" s="40">
        <f t="shared" si="16"/>
        <v>89</v>
      </c>
      <c r="Y248" s="5">
        <f t="shared" si="13"/>
        <v>47.526000000000003</v>
      </c>
      <c r="Z248" s="18">
        <f t="shared" si="14"/>
        <v>52.326000000000001</v>
      </c>
      <c r="AA248" s="18"/>
      <c r="AB248" s="18"/>
      <c r="AC248" s="18"/>
      <c r="AD248" s="5"/>
      <c r="AE248" s="41"/>
      <c r="AF248" s="41"/>
      <c r="AG248" s="41"/>
      <c r="AH248" s="41"/>
      <c r="AI248" s="41"/>
    </row>
    <row r="249" spans="1:35" s="28" customFormat="1" ht="12.75" x14ac:dyDescent="0.2">
      <c r="A249" s="73"/>
      <c r="B249" s="76"/>
      <c r="C249" s="78"/>
      <c r="D249" s="73"/>
      <c r="E249" s="73"/>
      <c r="F249" s="73"/>
      <c r="G249" s="73"/>
      <c r="H249" s="73"/>
      <c r="I249" s="73"/>
      <c r="J249" s="83"/>
      <c r="K249" s="73"/>
      <c r="L249" s="30"/>
      <c r="M249" s="27"/>
      <c r="N249" s="27"/>
      <c r="O249" s="27"/>
      <c r="P249" s="27"/>
      <c r="Q249" s="27"/>
      <c r="R249" s="27"/>
      <c r="S249" s="27"/>
      <c r="T249" s="27"/>
      <c r="U249" s="30"/>
      <c r="V249" s="40"/>
      <c r="W249" s="40"/>
      <c r="X249" s="40">
        <f t="shared" si="16"/>
        <v>99</v>
      </c>
      <c r="Y249" s="5">
        <f t="shared" si="13"/>
        <v>52.866</v>
      </c>
      <c r="Z249" s="18">
        <f t="shared" si="14"/>
        <v>57.665999999999997</v>
      </c>
      <c r="AA249" s="5"/>
      <c r="AB249" s="5"/>
      <c r="AC249" s="5"/>
      <c r="AD249" s="5"/>
      <c r="AE249" s="5"/>
      <c r="AF249" s="5"/>
      <c r="AG249" s="5"/>
      <c r="AH249" s="5"/>
      <c r="AI249" s="5"/>
    </row>
    <row r="250" spans="1:35" s="28" customFormat="1" ht="12.75" x14ac:dyDescent="0.2">
      <c r="A250" s="80"/>
      <c r="F250" s="80"/>
      <c r="G250" s="89"/>
      <c r="H250" s="73"/>
      <c r="I250" s="73"/>
      <c r="J250" s="73"/>
      <c r="K250" s="73"/>
      <c r="L250" s="30"/>
      <c r="M250" s="27"/>
      <c r="N250" s="27"/>
      <c r="O250" s="27"/>
      <c r="P250" s="27"/>
      <c r="Q250" s="27"/>
      <c r="R250" s="27"/>
      <c r="S250" s="27"/>
      <c r="T250" s="27"/>
      <c r="U250" s="30"/>
      <c r="V250" s="40"/>
      <c r="W250" s="40"/>
      <c r="X250" s="40">
        <f>X249+10</f>
        <v>109</v>
      </c>
      <c r="Y250" s="5">
        <f t="shared" si="13"/>
        <v>58.206000000000003</v>
      </c>
      <c r="Z250" s="18">
        <f t="shared" si="14"/>
        <v>63.006</v>
      </c>
      <c r="AA250" s="40"/>
      <c r="AB250" s="5"/>
      <c r="AC250" s="5"/>
      <c r="AD250" s="5"/>
      <c r="AE250" s="5"/>
      <c r="AF250" s="5"/>
      <c r="AG250" s="5"/>
      <c r="AH250" s="5"/>
      <c r="AI250" s="51"/>
    </row>
    <row r="251" spans="1:35" s="28" customFormat="1" ht="12.75" x14ac:dyDescent="0.2">
      <c r="A251" s="137" t="s">
        <v>110</v>
      </c>
      <c r="C251" s="73"/>
      <c r="D251" s="73"/>
      <c r="E251" s="76" t="s">
        <v>105</v>
      </c>
      <c r="F251" s="78">
        <f>AC232</f>
        <v>25.751269035532996</v>
      </c>
      <c r="G251" s="91" t="s">
        <v>106</v>
      </c>
      <c r="H251" s="77"/>
      <c r="I251" s="73"/>
      <c r="J251" s="73"/>
      <c r="K251" s="73"/>
      <c r="L251" s="30"/>
      <c r="M251" s="27"/>
      <c r="N251" s="27"/>
      <c r="O251" s="27"/>
      <c r="P251" s="27"/>
      <c r="Q251" s="27"/>
      <c r="R251" s="27"/>
      <c r="S251" s="27"/>
      <c r="T251" s="27"/>
      <c r="U251" s="30"/>
      <c r="V251" s="40"/>
      <c r="W251" s="40"/>
      <c r="X251" s="40">
        <v>120</v>
      </c>
      <c r="Y251" s="5">
        <f t="shared" si="13"/>
        <v>64.08</v>
      </c>
      <c r="Z251" s="18">
        <f t="shared" si="14"/>
        <v>68.88</v>
      </c>
      <c r="AA251" s="40"/>
      <c r="AB251" s="5"/>
      <c r="AC251" s="5"/>
      <c r="AD251" s="5"/>
      <c r="AE251" s="5"/>
      <c r="AF251" s="5"/>
      <c r="AG251" s="5"/>
      <c r="AH251" s="5"/>
      <c r="AI251" s="51"/>
    </row>
    <row r="252" spans="1:35" s="28" customFormat="1" ht="12.75" x14ac:dyDescent="0.2">
      <c r="A252" s="73"/>
      <c r="E252" s="135"/>
      <c r="F252" s="78"/>
      <c r="G252" s="73"/>
      <c r="H252" s="73"/>
      <c r="I252" s="73"/>
      <c r="J252" s="73"/>
      <c r="K252" s="73"/>
      <c r="L252" s="30"/>
      <c r="M252" s="27"/>
      <c r="N252" s="27"/>
      <c r="O252" s="27"/>
      <c r="P252" s="27"/>
      <c r="Q252" s="27"/>
      <c r="R252" s="27"/>
      <c r="S252" s="27"/>
      <c r="T252" s="27"/>
      <c r="U252" s="30"/>
      <c r="V252" s="40"/>
      <c r="W252" s="40"/>
      <c r="X252" s="30"/>
      <c r="Y252" s="18"/>
      <c r="Z252" s="18"/>
      <c r="AA252" s="40"/>
      <c r="AB252" s="5"/>
      <c r="AC252" s="5"/>
      <c r="AD252" s="5"/>
      <c r="AE252" s="5"/>
      <c r="AF252" s="5"/>
      <c r="AG252" s="5"/>
      <c r="AH252" s="5"/>
      <c r="AI252" s="51"/>
    </row>
    <row r="253" spans="1:35" s="28" customFormat="1" ht="12.75" x14ac:dyDescent="0.2">
      <c r="A253" s="138" t="s">
        <v>111</v>
      </c>
      <c r="C253" s="93"/>
      <c r="D253" s="88"/>
      <c r="E253" s="76" t="s">
        <v>104</v>
      </c>
      <c r="F253" s="136">
        <f>AC236</f>
        <v>30.551269035532997</v>
      </c>
      <c r="G253" s="91" t="s">
        <v>106</v>
      </c>
      <c r="H253" s="73"/>
      <c r="I253" s="73"/>
      <c r="J253" s="73"/>
      <c r="K253" s="73"/>
      <c r="L253" s="30"/>
      <c r="M253" s="27"/>
      <c r="N253" s="27"/>
      <c r="O253" s="27"/>
      <c r="P253" s="27"/>
      <c r="Q253" s="27"/>
      <c r="R253" s="27"/>
      <c r="S253" s="27"/>
      <c r="T253" s="27"/>
      <c r="U253" s="30"/>
      <c r="V253" s="40"/>
      <c r="W253" s="40"/>
      <c r="X253" s="30"/>
      <c r="Y253" s="18"/>
      <c r="Z253" s="5"/>
      <c r="AA253" s="40"/>
      <c r="AB253" s="5"/>
      <c r="AC253" s="5"/>
      <c r="AD253" s="5"/>
      <c r="AE253" s="5"/>
      <c r="AF253" s="5"/>
      <c r="AG253" s="5"/>
      <c r="AH253" s="5"/>
      <c r="AI253" s="51"/>
    </row>
    <row r="254" spans="1:35" s="28" customFormat="1" ht="12.75" x14ac:dyDescent="0.2">
      <c r="A254" s="73"/>
      <c r="B254" s="77"/>
      <c r="C254" s="96"/>
      <c r="D254" s="88"/>
      <c r="E254" s="83"/>
      <c r="F254" s="73"/>
      <c r="G254" s="96"/>
      <c r="H254" s="77"/>
      <c r="I254" s="97"/>
      <c r="J254" s="73"/>
      <c r="K254" s="73"/>
      <c r="L254" s="30"/>
      <c r="M254" s="27"/>
      <c r="N254" s="27"/>
      <c r="O254" s="27"/>
      <c r="P254" s="27"/>
      <c r="Q254" s="27"/>
      <c r="R254" s="27"/>
      <c r="S254" s="27"/>
      <c r="T254" s="27"/>
      <c r="U254" s="30"/>
      <c r="V254" s="40"/>
      <c r="W254" s="40"/>
      <c r="X254" s="30"/>
      <c r="Y254" s="18"/>
      <c r="Z254" s="5"/>
      <c r="AA254" s="40"/>
      <c r="AB254" s="5"/>
      <c r="AC254" s="5"/>
      <c r="AD254" s="5"/>
      <c r="AE254" s="5"/>
      <c r="AF254" s="5"/>
      <c r="AG254" s="5"/>
      <c r="AH254" s="5"/>
      <c r="AI254" s="5"/>
    </row>
    <row r="255" spans="1:35" s="28" customFormat="1" ht="12.75" x14ac:dyDescent="0.2">
      <c r="A255" s="73"/>
      <c r="B255" s="91"/>
      <c r="C255" s="95"/>
      <c r="D255" s="73"/>
      <c r="E255" s="73"/>
      <c r="F255" s="73"/>
      <c r="G255" s="73"/>
      <c r="H255" s="73"/>
      <c r="I255" s="73"/>
      <c r="J255" s="73"/>
      <c r="K255" s="73"/>
      <c r="L255" s="30"/>
      <c r="M255" s="27"/>
      <c r="N255" s="27"/>
      <c r="O255" s="27"/>
      <c r="P255" s="27"/>
      <c r="Q255" s="27"/>
      <c r="R255" s="27"/>
      <c r="S255" s="27"/>
      <c r="T255" s="27"/>
      <c r="U255" s="30"/>
      <c r="V255" s="40"/>
      <c r="W255" s="40"/>
      <c r="X255" s="30"/>
      <c r="Y255" s="5"/>
      <c r="Z255" s="5"/>
      <c r="AA255" s="5"/>
      <c r="AB255" s="5"/>
      <c r="AC255" s="5"/>
      <c r="AD255" s="5"/>
      <c r="AE255" s="5"/>
      <c r="AF255" s="5"/>
      <c r="AG255" s="5"/>
      <c r="AH255" s="51"/>
      <c r="AI255" s="5"/>
    </row>
    <row r="256" spans="1:35" s="28" customFormat="1" ht="12.75" x14ac:dyDescent="0.2">
      <c r="A256" s="73"/>
      <c r="B256" s="76"/>
      <c r="C256" s="98"/>
      <c r="D256" s="73"/>
      <c r="E256" s="73"/>
      <c r="F256" s="82"/>
      <c r="G256" s="73"/>
      <c r="H256" s="73"/>
      <c r="I256" s="82"/>
      <c r="J256" s="73"/>
      <c r="K256" s="73"/>
      <c r="L256" s="30"/>
      <c r="M256" s="27"/>
      <c r="N256" s="27"/>
      <c r="O256" s="27"/>
      <c r="P256" s="27"/>
      <c r="Q256" s="27"/>
      <c r="R256" s="27"/>
      <c r="S256" s="27"/>
      <c r="T256" s="27"/>
      <c r="U256" s="30"/>
      <c r="V256" s="40"/>
      <c r="W256" s="40"/>
      <c r="X256" s="30"/>
      <c r="Y256" s="18"/>
      <c r="Z256" s="5"/>
      <c r="AA256" s="55"/>
      <c r="AB256" s="5"/>
      <c r="AC256" s="5"/>
      <c r="AD256" s="5"/>
      <c r="AE256" s="5"/>
      <c r="AF256" s="5"/>
      <c r="AG256" s="5"/>
      <c r="AH256" s="5"/>
      <c r="AI256" s="5"/>
    </row>
    <row r="257" spans="1:35" s="28" customFormat="1" ht="12.75" x14ac:dyDescent="0.2">
      <c r="A257" s="73"/>
      <c r="B257" s="76"/>
      <c r="C257" s="99"/>
      <c r="D257" s="73"/>
      <c r="E257" s="74"/>
      <c r="F257" s="82"/>
      <c r="G257" s="73"/>
      <c r="H257" s="73"/>
      <c r="I257" s="82"/>
      <c r="J257" s="73"/>
      <c r="K257" s="73"/>
      <c r="L257" s="30"/>
      <c r="M257" s="27"/>
      <c r="N257" s="27"/>
      <c r="O257" s="27"/>
      <c r="P257" s="27"/>
      <c r="Q257" s="27"/>
      <c r="R257" s="27"/>
      <c r="S257" s="27"/>
      <c r="T257" s="27"/>
      <c r="U257" s="30"/>
      <c r="V257" s="40"/>
      <c r="W257" s="40"/>
      <c r="X257" s="30"/>
      <c r="Y257" s="52"/>
      <c r="Z257" s="5"/>
      <c r="AA257" s="41"/>
      <c r="AB257" s="5"/>
      <c r="AC257" s="5"/>
      <c r="AD257" s="5"/>
      <c r="AE257" s="5"/>
      <c r="AF257" s="5"/>
      <c r="AG257" s="5"/>
      <c r="AH257" s="5"/>
      <c r="AI257" s="5"/>
    </row>
    <row r="258" spans="1:35" s="28" customFormat="1" ht="12.75" x14ac:dyDescent="0.2">
      <c r="A258" s="73"/>
      <c r="B258" s="74"/>
      <c r="C258" s="74"/>
      <c r="D258" s="82"/>
      <c r="E258" s="74"/>
      <c r="F258" s="82"/>
      <c r="G258" s="73"/>
      <c r="H258" s="73"/>
      <c r="I258" s="82"/>
      <c r="J258" s="73"/>
      <c r="K258" s="73"/>
      <c r="L258" s="30"/>
      <c r="M258" s="27"/>
      <c r="N258" s="27"/>
      <c r="O258" s="27"/>
      <c r="P258" s="27"/>
      <c r="Q258" s="27"/>
      <c r="R258" s="27"/>
      <c r="S258" s="27"/>
      <c r="T258" s="27"/>
      <c r="U258" s="30"/>
      <c r="V258" s="40"/>
      <c r="W258" s="40"/>
      <c r="X258" s="30"/>
      <c r="Y258" s="52"/>
      <c r="Z258" s="18"/>
      <c r="AA258" s="41"/>
      <c r="AB258" s="5"/>
      <c r="AC258" s="5"/>
      <c r="AD258" s="5"/>
      <c r="AE258" s="5"/>
      <c r="AF258" s="5"/>
      <c r="AG258" s="5"/>
      <c r="AH258" s="5"/>
      <c r="AI258" s="5"/>
    </row>
    <row r="259" spans="1:35" s="28" customFormat="1" ht="12.75" x14ac:dyDescent="0.2">
      <c r="A259" s="73"/>
      <c r="B259" s="100"/>
      <c r="C259" s="82"/>
      <c r="D259" s="82"/>
      <c r="E259" s="74"/>
      <c r="F259" s="82"/>
      <c r="G259" s="73"/>
      <c r="H259" s="73"/>
      <c r="I259" s="82"/>
      <c r="J259" s="73"/>
      <c r="K259" s="73"/>
      <c r="L259" s="30"/>
      <c r="M259" s="27"/>
      <c r="N259" s="27"/>
      <c r="O259" s="27"/>
      <c r="P259" s="27"/>
      <c r="Q259" s="27"/>
      <c r="R259" s="27"/>
      <c r="S259" s="27"/>
      <c r="T259" s="27"/>
      <c r="U259" s="30"/>
      <c r="V259" s="40"/>
      <c r="W259" s="40"/>
      <c r="X259" s="30"/>
      <c r="Y259" s="18"/>
      <c r="Z259" s="51"/>
      <c r="AA259" s="55"/>
      <c r="AB259" s="51"/>
      <c r="AC259" s="5"/>
      <c r="AD259" s="5"/>
      <c r="AE259" s="5"/>
      <c r="AF259" s="5"/>
      <c r="AG259" s="5"/>
      <c r="AH259" s="5"/>
      <c r="AI259" s="5"/>
    </row>
    <row r="260" spans="1:35" s="28" customFormat="1" ht="12.75" x14ac:dyDescent="0.2">
      <c r="A260" s="73"/>
      <c r="B260" s="82"/>
      <c r="C260" s="82"/>
      <c r="D260" s="74"/>
      <c r="E260" s="82"/>
      <c r="F260" s="73"/>
      <c r="G260" s="73"/>
      <c r="H260" s="82"/>
      <c r="I260" s="73"/>
      <c r="J260" s="73"/>
      <c r="K260" s="73"/>
      <c r="L260" s="30"/>
      <c r="M260" s="27"/>
      <c r="N260" s="27"/>
      <c r="O260" s="27"/>
      <c r="P260" s="27"/>
      <c r="Q260" s="27"/>
      <c r="R260" s="27"/>
      <c r="S260" s="27"/>
      <c r="T260" s="27"/>
      <c r="U260" s="30"/>
      <c r="V260" s="40"/>
      <c r="W260" s="40"/>
      <c r="X260" s="30"/>
      <c r="Y260" s="18"/>
      <c r="Z260" s="5"/>
      <c r="AA260" s="41"/>
      <c r="AB260" s="5"/>
      <c r="AC260" s="5"/>
      <c r="AD260" s="5"/>
      <c r="AE260" s="5"/>
      <c r="AF260" s="5"/>
      <c r="AG260" s="5"/>
      <c r="AH260" s="5"/>
      <c r="AI260" s="5"/>
    </row>
    <row r="261" spans="1:35" s="28" customFormat="1" ht="12.75" x14ac:dyDescent="0.2">
      <c r="A261" s="5"/>
      <c r="B261" s="5"/>
      <c r="C261" s="46"/>
      <c r="D261" s="46"/>
      <c r="E261" s="46"/>
      <c r="F261" s="46"/>
      <c r="G261" s="5"/>
      <c r="H261" s="46"/>
      <c r="I261" s="46"/>
      <c r="J261" s="5"/>
      <c r="K261" s="5"/>
      <c r="L261" s="30"/>
      <c r="M261" s="27"/>
      <c r="N261" s="27"/>
      <c r="O261" s="27"/>
      <c r="P261" s="27"/>
      <c r="Q261" s="27"/>
      <c r="R261" s="27"/>
      <c r="S261" s="27"/>
      <c r="T261" s="27"/>
      <c r="U261" s="30"/>
      <c r="V261" s="40"/>
      <c r="W261" s="40"/>
      <c r="X261" s="30"/>
      <c r="Y261" s="5"/>
      <c r="Z261" s="5"/>
      <c r="AA261" s="5"/>
      <c r="AB261" s="5"/>
      <c r="AC261" s="5"/>
      <c r="AD261" s="5"/>
      <c r="AE261" s="5"/>
      <c r="AF261" s="5"/>
      <c r="AG261" s="5"/>
      <c r="AH261" s="5"/>
      <c r="AI261" s="5"/>
    </row>
    <row r="262" spans="1:35" s="28" customFormat="1" ht="12.75" x14ac:dyDescent="0.2">
      <c r="A262" s="5"/>
      <c r="B262" s="46"/>
      <c r="C262" s="53"/>
      <c r="D262" s="43"/>
      <c r="E262" s="49"/>
      <c r="F262" s="40"/>
      <c r="G262" s="5"/>
      <c r="H262" s="49"/>
      <c r="I262" s="40"/>
      <c r="J262" s="47"/>
      <c r="K262" s="47"/>
      <c r="L262" s="30"/>
      <c r="M262" s="27"/>
      <c r="N262" s="27"/>
      <c r="O262" s="27"/>
      <c r="P262" s="27"/>
      <c r="Q262" s="27"/>
      <c r="R262" s="27"/>
      <c r="S262" s="27"/>
      <c r="T262" s="27"/>
      <c r="U262" s="30"/>
      <c r="V262" s="40"/>
      <c r="W262" s="40"/>
      <c r="X262" s="30"/>
    </row>
    <row r="263" spans="1:35" s="28" customFormat="1" ht="12.75" x14ac:dyDescent="0.2">
      <c r="A263" s="5"/>
      <c r="B263" s="46"/>
      <c r="C263" s="53"/>
      <c r="D263" s="43"/>
      <c r="E263" s="49"/>
      <c r="F263" s="40"/>
      <c r="G263" s="5"/>
      <c r="H263" s="49"/>
      <c r="I263" s="40"/>
      <c r="J263" s="47"/>
      <c r="K263" s="47"/>
      <c r="L263" s="30"/>
      <c r="M263" s="27"/>
      <c r="N263" s="27"/>
      <c r="O263" s="27"/>
      <c r="P263" s="27"/>
      <c r="Q263" s="27"/>
      <c r="R263" s="27"/>
      <c r="S263" s="27"/>
      <c r="T263" s="27"/>
      <c r="U263" s="30"/>
      <c r="V263" s="40"/>
      <c r="W263" s="40"/>
      <c r="X263" s="30"/>
    </row>
    <row r="264" spans="1:35" s="28" customFormat="1" ht="12.75" x14ac:dyDescent="0.2">
      <c r="A264" s="5"/>
      <c r="B264" s="46"/>
      <c r="C264" s="53"/>
      <c r="D264" s="43"/>
      <c r="E264" s="49"/>
      <c r="F264" s="40"/>
      <c r="G264" s="5"/>
      <c r="H264" s="49"/>
      <c r="I264" s="40"/>
      <c r="J264" s="47"/>
      <c r="K264" s="47"/>
      <c r="L264" s="30"/>
      <c r="M264" s="27"/>
      <c r="N264" s="27"/>
      <c r="O264" s="27"/>
      <c r="P264" s="27"/>
      <c r="Q264" s="27"/>
      <c r="R264" s="27"/>
      <c r="S264" s="27"/>
      <c r="T264" s="27"/>
      <c r="U264" s="30"/>
      <c r="V264" s="56"/>
      <c r="W264" s="40"/>
      <c r="X264" s="30"/>
    </row>
    <row r="265" spans="1:35" s="28" customFormat="1" ht="12.75" x14ac:dyDescent="0.2">
      <c r="A265" s="5"/>
      <c r="B265" s="46"/>
      <c r="C265" s="53"/>
      <c r="D265" s="43"/>
      <c r="E265" s="49"/>
      <c r="F265" s="40"/>
      <c r="G265" s="5"/>
      <c r="H265" s="49"/>
      <c r="I265" s="40"/>
      <c r="J265" s="47"/>
      <c r="K265" s="47"/>
      <c r="L265" s="30"/>
      <c r="M265" s="27"/>
      <c r="N265" s="27"/>
      <c r="O265" s="27"/>
      <c r="P265" s="27"/>
      <c r="Q265" s="27"/>
      <c r="R265" s="27"/>
      <c r="S265" s="27"/>
      <c r="T265" s="27"/>
      <c r="U265" s="30"/>
      <c r="V265" s="5"/>
      <c r="W265" s="5"/>
      <c r="X265" s="30"/>
    </row>
    <row r="266" spans="1:35" s="28" customFormat="1" ht="12.75" x14ac:dyDescent="0.2">
      <c r="A266" s="58"/>
      <c r="B266" s="59"/>
      <c r="C266" s="60"/>
      <c r="D266" s="58"/>
      <c r="E266" s="58"/>
      <c r="F266" s="58"/>
      <c r="G266" s="60"/>
      <c r="H266" s="58"/>
      <c r="I266" s="58"/>
      <c r="J266" s="58"/>
      <c r="K266" s="58"/>
      <c r="L266" s="30"/>
      <c r="M266" s="27"/>
      <c r="N266" s="27"/>
      <c r="O266" s="27"/>
      <c r="P266" s="27"/>
      <c r="Q266" s="27"/>
      <c r="R266" s="27"/>
      <c r="S266" s="27"/>
      <c r="T266" s="27"/>
      <c r="U266" s="30"/>
      <c r="V266" s="30"/>
      <c r="W266" s="30"/>
      <c r="X266" s="30"/>
    </row>
    <row r="267" spans="1:35" s="28" customFormat="1" ht="12.75" x14ac:dyDescent="0.2">
      <c r="A267" s="58"/>
      <c r="B267" s="59"/>
      <c r="C267" s="60"/>
      <c r="D267" s="58"/>
      <c r="E267" s="58"/>
      <c r="F267" s="58"/>
      <c r="G267" s="60"/>
      <c r="H267" s="58"/>
      <c r="I267" s="58"/>
      <c r="J267" s="58"/>
      <c r="K267" s="58"/>
      <c r="L267" s="30"/>
      <c r="M267" s="27"/>
      <c r="N267" s="27"/>
      <c r="O267" s="27"/>
      <c r="P267" s="27"/>
      <c r="Q267" s="27"/>
      <c r="R267" s="27"/>
      <c r="S267" s="27"/>
      <c r="T267" s="27"/>
      <c r="U267" s="30"/>
      <c r="V267" s="30"/>
      <c r="W267" s="30"/>
      <c r="X267" s="30"/>
    </row>
    <row r="268" spans="1:35" s="28" customFormat="1" ht="12.75" x14ac:dyDescent="0.2">
      <c r="A268" s="58"/>
      <c r="B268" s="59"/>
      <c r="C268" s="60"/>
      <c r="D268" s="58"/>
      <c r="E268" s="58"/>
      <c r="F268" s="58"/>
      <c r="G268" s="60"/>
      <c r="H268" s="58"/>
      <c r="I268" s="58"/>
      <c r="J268" s="58"/>
      <c r="K268" s="58"/>
      <c r="L268" s="30"/>
      <c r="M268" s="27"/>
      <c r="N268" s="27"/>
      <c r="O268" s="27"/>
      <c r="P268" s="27"/>
      <c r="Q268" s="27"/>
      <c r="R268" s="27"/>
      <c r="S268" s="27"/>
      <c r="T268" s="27"/>
      <c r="U268" s="30"/>
      <c r="V268" s="30"/>
      <c r="W268" s="30"/>
      <c r="X268" s="30"/>
    </row>
    <row r="269" spans="1:35" s="28" customFormat="1" ht="12.75" x14ac:dyDescent="0.2">
      <c r="A269" s="58"/>
      <c r="B269" s="59"/>
      <c r="C269" s="60"/>
      <c r="D269" s="58"/>
      <c r="E269" s="58"/>
      <c r="F269" s="58"/>
      <c r="G269" s="60"/>
      <c r="H269" s="58"/>
      <c r="I269" s="58"/>
      <c r="J269" s="58"/>
      <c r="K269" s="58"/>
      <c r="L269" s="30"/>
      <c r="M269" s="27"/>
      <c r="N269" s="27"/>
      <c r="O269" s="27"/>
      <c r="P269" s="27"/>
      <c r="Q269" s="27"/>
      <c r="R269" s="27"/>
      <c r="S269" s="27"/>
      <c r="T269" s="27"/>
      <c r="U269" s="30"/>
      <c r="V269" s="30"/>
      <c r="W269" s="30"/>
      <c r="X269" s="30"/>
    </row>
    <row r="270" spans="1:35" s="28" customFormat="1" ht="12.75" x14ac:dyDescent="0.2">
      <c r="A270" s="58"/>
      <c r="B270" s="59"/>
      <c r="C270" s="60"/>
      <c r="D270" s="58"/>
      <c r="E270" s="58"/>
      <c r="F270" s="58"/>
      <c r="G270" s="60"/>
      <c r="H270" s="58"/>
      <c r="I270" s="58"/>
      <c r="J270" s="58"/>
      <c r="K270" s="58"/>
      <c r="L270" s="30"/>
      <c r="M270" s="27"/>
      <c r="N270" s="27"/>
      <c r="O270" s="27"/>
      <c r="P270" s="27"/>
      <c r="Q270" s="27"/>
      <c r="R270" s="27"/>
      <c r="S270" s="27"/>
      <c r="T270" s="27"/>
      <c r="U270" s="30"/>
      <c r="V270" s="30"/>
      <c r="W270" s="30"/>
      <c r="X270" s="30"/>
    </row>
    <row r="271" spans="1:35" s="28" customFormat="1" ht="12.75" x14ac:dyDescent="0.2">
      <c r="A271" s="58"/>
      <c r="B271" s="59"/>
      <c r="C271" s="60"/>
      <c r="D271" s="58"/>
      <c r="E271" s="58"/>
      <c r="F271" s="58"/>
      <c r="G271" s="60"/>
      <c r="H271" s="58"/>
      <c r="I271" s="58"/>
      <c r="J271" s="58"/>
      <c r="K271" s="58"/>
      <c r="L271" s="30"/>
      <c r="M271" s="27"/>
      <c r="N271" s="27"/>
      <c r="O271" s="27"/>
      <c r="P271" s="27"/>
      <c r="Q271" s="27"/>
      <c r="R271" s="27"/>
      <c r="S271" s="27"/>
      <c r="T271" s="27"/>
      <c r="U271" s="30"/>
      <c r="V271" s="30"/>
      <c r="W271" s="30"/>
      <c r="X271" s="30"/>
    </row>
    <row r="272" spans="1:35" s="28" customFormat="1" ht="12.75" x14ac:dyDescent="0.2">
      <c r="A272" s="145" t="s">
        <v>118</v>
      </c>
      <c r="B272" s="146"/>
      <c r="C272" s="146"/>
      <c r="D272" s="146"/>
      <c r="E272" s="146"/>
      <c r="F272" s="146"/>
      <c r="G272" s="147"/>
      <c r="H272" s="147"/>
      <c r="I272" s="147"/>
      <c r="J272" s="147"/>
      <c r="K272" s="148"/>
      <c r="L272" s="30"/>
      <c r="M272" s="27"/>
      <c r="N272" s="27"/>
      <c r="O272" s="27"/>
      <c r="P272" s="27"/>
      <c r="Q272" s="27"/>
      <c r="R272" s="27"/>
      <c r="S272" s="27"/>
      <c r="T272" s="27"/>
      <c r="U272" s="30"/>
      <c r="V272" s="30"/>
      <c r="W272" s="30"/>
      <c r="X272" s="30"/>
    </row>
    <row r="273" spans="1:35" s="28" customFormat="1" ht="12.75" x14ac:dyDescent="0.2">
      <c r="A273" s="149"/>
      <c r="B273" s="149"/>
      <c r="C273" s="149"/>
      <c r="D273" s="150"/>
      <c r="E273" s="150"/>
      <c r="F273" s="151" t="s">
        <v>119</v>
      </c>
      <c r="G273" s="152" t="s">
        <v>120</v>
      </c>
      <c r="H273" s="153"/>
      <c r="I273" s="154"/>
      <c r="J273" s="154"/>
      <c r="K273" s="155"/>
      <c r="L273" s="30"/>
      <c r="M273" s="27"/>
      <c r="N273" s="27"/>
      <c r="O273" s="27"/>
      <c r="P273" s="27"/>
      <c r="Q273" s="27"/>
      <c r="R273" s="27"/>
      <c r="S273" s="27"/>
      <c r="T273" s="27"/>
      <c r="U273" s="30"/>
      <c r="V273" s="30"/>
      <c r="W273" s="30"/>
      <c r="X273" s="30"/>
    </row>
    <row r="274" spans="1:35" s="5" customFormat="1" ht="12.75" x14ac:dyDescent="0.2">
      <c r="A274" s="14"/>
      <c r="E274" s="7" t="s">
        <v>1</v>
      </c>
      <c r="F274" s="8" t="str">
        <f>$C$1</f>
        <v>R. Abbott</v>
      </c>
      <c r="H274" s="15"/>
      <c r="I274" s="7" t="s">
        <v>8</v>
      </c>
      <c r="J274" s="16" t="str">
        <f>$G$2</f>
        <v>AA-SM-515-000</v>
      </c>
      <c r="K274" s="17"/>
      <c r="L274" s="18"/>
      <c r="M274" s="9"/>
      <c r="N274" s="9"/>
      <c r="O274" s="9"/>
      <c r="P274" s="9"/>
      <c r="Q274" s="11"/>
      <c r="R274" s="12"/>
      <c r="S274" s="36"/>
      <c r="T274" s="35"/>
    </row>
    <row r="275" spans="1:35" s="5" customFormat="1" ht="12.75" x14ac:dyDescent="0.2">
      <c r="E275" s="7" t="s">
        <v>2</v>
      </c>
      <c r="F275" s="15" t="str">
        <f>$C$2</f>
        <v xml:space="preserve"> </v>
      </c>
      <c r="H275" s="15"/>
      <c r="I275" s="7" t="s">
        <v>9</v>
      </c>
      <c r="J275" s="17" t="str">
        <f>$G$3</f>
        <v>IR</v>
      </c>
      <c r="K275" s="17"/>
      <c r="L275" s="18"/>
      <c r="M275" s="9">
        <v>1</v>
      </c>
      <c r="N275" s="9"/>
      <c r="O275" s="9"/>
      <c r="P275" s="9"/>
      <c r="Q275" s="11"/>
      <c r="R275" s="12"/>
      <c r="S275" s="36"/>
      <c r="T275" s="35"/>
    </row>
    <row r="276" spans="1:35" s="5" customFormat="1" ht="12.75" x14ac:dyDescent="0.2">
      <c r="E276" s="7" t="s">
        <v>3</v>
      </c>
      <c r="F276" s="15" t="str">
        <f>$C$3</f>
        <v>05/03/2017</v>
      </c>
      <c r="H276" s="15"/>
      <c r="I276" s="7" t="s">
        <v>6</v>
      </c>
      <c r="J276" s="8" t="str">
        <f>L276&amp;" of "&amp;$G$1</f>
        <v>6 of 17</v>
      </c>
      <c r="K276" s="15"/>
      <c r="L276" s="18">
        <f>SUM($M$1:M275)</f>
        <v>6</v>
      </c>
      <c r="M276" s="9"/>
      <c r="N276" s="9"/>
      <c r="O276" s="9"/>
      <c r="P276" s="9"/>
      <c r="Q276" s="11"/>
      <c r="R276" s="12"/>
      <c r="S276" s="36"/>
      <c r="T276" s="35"/>
    </row>
    <row r="277" spans="1:35" s="5" customFormat="1" ht="12.75" x14ac:dyDescent="0.2">
      <c r="A277" s="26"/>
      <c r="B277" s="26"/>
      <c r="C277" s="26"/>
      <c r="D277" s="26"/>
      <c r="E277" s="7" t="s">
        <v>29</v>
      </c>
      <c r="F277" s="15" t="str">
        <f>$C$5</f>
        <v>STANDARD SPREADSHEET METHOD</v>
      </c>
      <c r="I277" s="19"/>
      <c r="J277" s="8"/>
      <c r="M277" s="9"/>
      <c r="N277" s="9"/>
      <c r="O277" s="9"/>
      <c r="P277" s="9"/>
      <c r="Q277" s="9"/>
      <c r="R277" s="9"/>
      <c r="S277" s="34"/>
      <c r="T277" s="35"/>
    </row>
    <row r="278" spans="1:35" s="28" customFormat="1" x14ac:dyDescent="0.25">
      <c r="A278" s="70"/>
      <c r="B278" s="21" t="str">
        <f>$G$4</f>
        <v>SIMPLIFIED PART 23 AIRCRAFT LOADS</v>
      </c>
      <c r="C278" s="71"/>
      <c r="D278" s="71"/>
      <c r="E278" s="72"/>
      <c r="F278" s="71"/>
      <c r="G278" s="71"/>
      <c r="H278" s="71"/>
      <c r="I278" s="71"/>
      <c r="J278" s="71"/>
      <c r="K278" s="71"/>
      <c r="L278" s="30"/>
      <c r="M278" s="37"/>
      <c r="N278" s="38"/>
      <c r="O278" s="38"/>
      <c r="P278" s="38"/>
      <c r="Q278" s="38"/>
      <c r="R278" s="37"/>
      <c r="S278" s="37"/>
      <c r="T278" s="39"/>
    </row>
    <row r="279" spans="1:35" s="26" customFormat="1" ht="12.75" x14ac:dyDescent="0.2">
      <c r="A279" s="73"/>
      <c r="B279" s="73" t="s">
        <v>47</v>
      </c>
      <c r="C279" s="73"/>
      <c r="D279" s="73"/>
      <c r="E279" s="73"/>
      <c r="F279" s="73"/>
      <c r="G279" s="73"/>
      <c r="H279" s="73"/>
      <c r="I279" s="73"/>
      <c r="J279" s="73"/>
      <c r="K279" s="73"/>
      <c r="L279" s="29"/>
      <c r="M279" s="27"/>
      <c r="N279" s="27"/>
      <c r="O279" s="27"/>
      <c r="P279" s="27"/>
      <c r="Q279" s="27"/>
      <c r="R279" s="27"/>
      <c r="S279" s="27"/>
      <c r="T279" s="27"/>
    </row>
    <row r="280" spans="1:35" s="26" customFormat="1" ht="12.75" x14ac:dyDescent="0.2">
      <c r="A280" s="73"/>
      <c r="B280" s="114" t="s">
        <v>102</v>
      </c>
      <c r="C280" s="73"/>
      <c r="D280" s="76"/>
      <c r="E280" s="73"/>
      <c r="F280" s="73"/>
      <c r="G280" s="77"/>
      <c r="H280" s="73"/>
      <c r="I280" s="73"/>
      <c r="J280" s="73"/>
      <c r="K280" s="73"/>
      <c r="M280" s="37"/>
      <c r="N280" s="38"/>
      <c r="O280" s="38"/>
      <c r="P280" s="38"/>
      <c r="Q280" s="38"/>
      <c r="R280" s="37"/>
      <c r="S280" s="37"/>
      <c r="T280" s="39"/>
    </row>
    <row r="281" spans="1:35" s="26" customFormat="1" ht="12.75" x14ac:dyDescent="0.2">
      <c r="A281" s="73"/>
      <c r="B281" s="75"/>
      <c r="C281" s="73"/>
      <c r="D281" s="76"/>
      <c r="E281" s="73"/>
      <c r="F281" s="73"/>
      <c r="G281" s="73"/>
      <c r="H281" s="73"/>
      <c r="I281" s="73"/>
      <c r="J281" s="73"/>
      <c r="K281" s="73"/>
      <c r="M281" s="37"/>
      <c r="N281" s="38"/>
      <c r="O281" s="38"/>
      <c r="P281" s="38"/>
      <c r="Q281" s="38"/>
      <c r="R281" s="37"/>
      <c r="S281" s="37"/>
      <c r="T281" s="39"/>
      <c r="V281" s="40"/>
      <c r="W281" s="40"/>
      <c r="Y281" s="5"/>
      <c r="Z281" s="5"/>
      <c r="AA281" s="5"/>
      <c r="AB281" s="5"/>
      <c r="AC281" s="7"/>
      <c r="AD281" s="5"/>
      <c r="AE281" s="5"/>
      <c r="AF281" s="5"/>
      <c r="AG281" s="5"/>
      <c r="AH281" s="5"/>
      <c r="AI281" s="5"/>
    </row>
    <row r="282" spans="1:35" s="28" customFormat="1" ht="13.5" customHeight="1" x14ac:dyDescent="0.2">
      <c r="A282" s="73"/>
      <c r="B282" s="28" t="s">
        <v>86</v>
      </c>
      <c r="D282" s="76"/>
      <c r="E282" s="73"/>
      <c r="F282" s="73"/>
      <c r="G282" s="73"/>
      <c r="H282" s="73"/>
      <c r="I282" s="73"/>
      <c r="J282" s="73"/>
      <c r="K282" s="73"/>
      <c r="L282" s="30"/>
      <c r="M282" s="37"/>
      <c r="N282" s="38"/>
      <c r="O282" s="38"/>
      <c r="P282" s="38"/>
      <c r="Q282" s="38"/>
      <c r="R282" s="37"/>
      <c r="S282" s="37"/>
      <c r="T282" s="39"/>
      <c r="U282" s="30"/>
      <c r="V282" s="40"/>
      <c r="W282" s="40"/>
      <c r="X282" s="30"/>
      <c r="Y282" s="5"/>
      <c r="Z282" s="18"/>
      <c r="AA282" s="46"/>
      <c r="AB282" s="46"/>
      <c r="AC282" s="5"/>
      <c r="AD282" s="5"/>
      <c r="AE282" s="5"/>
      <c r="AF282" s="5"/>
      <c r="AG282" s="5"/>
      <c r="AH282" s="5"/>
      <c r="AI282" s="5"/>
    </row>
    <row r="283" spans="1:35" s="28" customFormat="1" ht="12.75" x14ac:dyDescent="0.2">
      <c r="A283" s="77"/>
      <c r="B283" s="80" t="s">
        <v>81</v>
      </c>
      <c r="C283" s="28" t="str">
        <f>[1]!xln(C284)</f>
        <v>3.8 × 12.7</v>
      </c>
      <c r="D283" s="77"/>
      <c r="E283" s="77"/>
      <c r="F283" s="77"/>
      <c r="G283" s="77"/>
      <c r="H283" s="77"/>
      <c r="I283" s="77"/>
      <c r="J283" s="77"/>
      <c r="K283" s="77"/>
      <c r="L283" s="30"/>
      <c r="M283" s="37"/>
      <c r="N283" s="38"/>
      <c r="O283" s="38"/>
      <c r="P283" s="38"/>
      <c r="Q283" s="38"/>
      <c r="R283" s="37"/>
      <c r="S283" s="37"/>
      <c r="T283" s="39"/>
      <c r="U283" s="30"/>
      <c r="V283" s="40"/>
      <c r="W283" s="40"/>
      <c r="X283" s="30"/>
      <c r="Y283" s="5"/>
      <c r="Z283" s="46"/>
      <c r="AA283" s="29"/>
      <c r="AB283" s="31"/>
      <c r="AC283" s="5"/>
      <c r="AD283" s="5"/>
      <c r="AE283" s="5"/>
      <c r="AF283" s="5"/>
      <c r="AG283" s="5"/>
      <c r="AH283" s="5"/>
      <c r="AI283" s="5"/>
    </row>
    <row r="284" spans="1:35" s="28" customFormat="1" ht="12.75" x14ac:dyDescent="0.2">
      <c r="A284" s="73"/>
      <c r="B284" s="76" t="s">
        <v>82</v>
      </c>
      <c r="C284" s="96">
        <f>C35*C19</f>
        <v>48.223350253807105</v>
      </c>
      <c r="D284" s="91" t="s">
        <v>106</v>
      </c>
      <c r="E284" s="73"/>
      <c r="F284" s="73"/>
      <c r="G284" s="73"/>
      <c r="H284" s="73"/>
      <c r="I284" s="73"/>
      <c r="J284" s="73"/>
      <c r="K284" s="73"/>
      <c r="L284" s="30"/>
      <c r="M284" s="37"/>
      <c r="N284" s="38"/>
      <c r="O284" s="38"/>
      <c r="P284" s="38"/>
      <c r="Q284" s="38"/>
      <c r="R284" s="37"/>
      <c r="S284" s="37"/>
      <c r="T284" s="39"/>
      <c r="U284" s="30"/>
      <c r="V284" s="40"/>
      <c r="W284" s="40"/>
      <c r="X284" s="40">
        <v>0</v>
      </c>
      <c r="Y284" s="5">
        <f>0.78*X284</f>
        <v>0</v>
      </c>
      <c r="Z284" s="18">
        <f>0.64*X284</f>
        <v>0</v>
      </c>
      <c r="AA284" s="29">
        <f>0.466*X284</f>
        <v>0</v>
      </c>
      <c r="AB284" s="40">
        <f>C284</f>
        <v>48.223350253807105</v>
      </c>
      <c r="AC284" s="5">
        <f>0.78*AB284</f>
        <v>37.614213197969541</v>
      </c>
      <c r="AD284" s="18">
        <f>0.64*AB284</f>
        <v>30.862944162436548</v>
      </c>
      <c r="AE284" s="29">
        <f>0.466*AB284</f>
        <v>22.472081218274113</v>
      </c>
      <c r="AF284" s="47"/>
      <c r="AG284" s="47"/>
      <c r="AH284" s="47"/>
      <c r="AI284" s="5"/>
    </row>
    <row r="285" spans="1:35" s="28" customFormat="1" ht="12.75" x14ac:dyDescent="0.2">
      <c r="A285" s="73"/>
      <c r="B285" s="80"/>
      <c r="C285" s="81"/>
      <c r="D285" s="73"/>
      <c r="E285" s="73"/>
      <c r="F285" s="73"/>
      <c r="G285" s="73"/>
      <c r="H285" s="73"/>
      <c r="I285" s="73"/>
      <c r="J285" s="73"/>
      <c r="K285" s="73"/>
      <c r="L285" s="30"/>
      <c r="M285" s="37"/>
      <c r="N285" s="38"/>
      <c r="O285" s="38"/>
      <c r="P285" s="38"/>
      <c r="Q285" s="38"/>
      <c r="R285" s="37"/>
      <c r="S285" s="37"/>
      <c r="T285" s="39"/>
      <c r="U285" s="30"/>
      <c r="V285" s="40"/>
      <c r="W285" s="40"/>
      <c r="X285" s="40">
        <v>5</v>
      </c>
      <c r="Y285" s="5">
        <f t="shared" ref="Y285:Y308" si="17">0.78*X285</f>
        <v>3.9000000000000004</v>
      </c>
      <c r="Z285" s="18">
        <f t="shared" ref="Z285:Z308" si="18">0.64*X285</f>
        <v>3.2</v>
      </c>
      <c r="AA285" s="29">
        <f t="shared" ref="AA285:AA308" si="19">0.466*X285</f>
        <v>2.33</v>
      </c>
      <c r="AB285" s="31"/>
      <c r="AC285" s="47"/>
      <c r="AD285" s="47"/>
      <c r="AE285" s="47"/>
      <c r="AF285" s="47"/>
      <c r="AG285" s="47"/>
      <c r="AH285" s="47"/>
      <c r="AI285" s="23"/>
    </row>
    <row r="286" spans="1:35" s="28" customFormat="1" ht="12.75" x14ac:dyDescent="0.2">
      <c r="A286" s="79"/>
      <c r="B286" s="120" t="s">
        <v>103</v>
      </c>
      <c r="C286" s="79"/>
      <c r="D286" s="73"/>
      <c r="E286" s="73"/>
      <c r="F286" s="73"/>
      <c r="G286" s="73"/>
      <c r="H286" s="81"/>
      <c r="I286" s="73"/>
      <c r="J286" s="73"/>
      <c r="K286" s="73"/>
      <c r="L286" s="30"/>
      <c r="M286" s="27"/>
      <c r="N286" s="27"/>
      <c r="O286" s="27"/>
      <c r="P286" s="27"/>
      <c r="Q286" s="27"/>
      <c r="R286" s="27"/>
      <c r="S286" s="27"/>
      <c r="T286" s="27"/>
      <c r="U286" s="30"/>
      <c r="V286" s="40"/>
      <c r="W286" s="40"/>
      <c r="X286" s="40">
        <v>7</v>
      </c>
      <c r="Y286" s="5">
        <f t="shared" si="17"/>
        <v>5.46</v>
      </c>
      <c r="Z286" s="18">
        <f t="shared" si="18"/>
        <v>4.4800000000000004</v>
      </c>
      <c r="AA286" s="29">
        <f t="shared" si="19"/>
        <v>3.262</v>
      </c>
      <c r="AB286" s="31"/>
      <c r="AC286" s="51"/>
      <c r="AD286" s="51"/>
      <c r="AE286" s="51"/>
      <c r="AF286" s="51"/>
      <c r="AG286" s="51"/>
      <c r="AH286" s="51"/>
      <c r="AI286" s="23"/>
    </row>
    <row r="287" spans="1:35" s="28" customFormat="1" ht="12.75" x14ac:dyDescent="0.2">
      <c r="A287" s="79"/>
      <c r="B287" s="80"/>
      <c r="D287" s="76"/>
      <c r="E287" s="73"/>
      <c r="F287" s="82"/>
      <c r="G287" s="73"/>
      <c r="H287" s="82"/>
      <c r="I287" s="77"/>
      <c r="J287" s="77"/>
      <c r="K287" s="73"/>
      <c r="L287" s="30"/>
      <c r="M287" s="27"/>
      <c r="N287" s="27"/>
      <c r="O287" s="27"/>
      <c r="P287" s="27"/>
      <c r="Q287" s="27"/>
      <c r="R287" s="27"/>
      <c r="S287" s="27"/>
      <c r="T287" s="27"/>
      <c r="U287" s="30"/>
      <c r="V287" s="40"/>
      <c r="W287" s="40"/>
      <c r="X287" s="40">
        <v>9</v>
      </c>
      <c r="Y287" s="5">
        <f t="shared" si="17"/>
        <v>7.0200000000000005</v>
      </c>
      <c r="Z287" s="18">
        <f t="shared" si="18"/>
        <v>5.76</v>
      </c>
      <c r="AA287" s="29">
        <f t="shared" si="19"/>
        <v>4.194</v>
      </c>
      <c r="AB287" s="43"/>
      <c r="AC287" s="5"/>
      <c r="AD287" s="5"/>
      <c r="AE287" s="5"/>
      <c r="AF287" s="5"/>
      <c r="AG287" s="5"/>
      <c r="AH287" s="5"/>
      <c r="AI287" s="5"/>
    </row>
    <row r="288" spans="1:35" s="28" customFormat="1" ht="12.75" x14ac:dyDescent="0.2">
      <c r="A288" s="79"/>
      <c r="B288" s="73"/>
      <c r="C288" s="104"/>
      <c r="D288" s="83"/>
      <c r="E288" s="73"/>
      <c r="F288" s="82"/>
      <c r="G288" s="73"/>
      <c r="H288" s="82"/>
      <c r="I288" s="77"/>
      <c r="J288" s="77"/>
      <c r="K288" s="73"/>
      <c r="L288" s="30"/>
      <c r="M288" s="27"/>
      <c r="N288" s="27"/>
      <c r="O288" s="27"/>
      <c r="P288" s="27"/>
      <c r="Q288" s="27"/>
      <c r="R288" s="27"/>
      <c r="S288" s="27"/>
      <c r="T288" s="27"/>
      <c r="U288" s="30"/>
      <c r="V288" s="40"/>
      <c r="W288" s="40"/>
      <c r="X288" s="40">
        <v>11</v>
      </c>
      <c r="Y288" s="5">
        <f t="shared" si="17"/>
        <v>8.58</v>
      </c>
      <c r="Z288" s="18">
        <f t="shared" si="18"/>
        <v>7.04</v>
      </c>
      <c r="AA288" s="29">
        <f t="shared" si="19"/>
        <v>5.1260000000000003</v>
      </c>
      <c r="AB288" s="40">
        <f>AB284</f>
        <v>48.223350253807105</v>
      </c>
      <c r="AC288" s="18">
        <v>0</v>
      </c>
      <c r="AD288" s="5"/>
      <c r="AE288" s="5"/>
      <c r="AF288" s="5"/>
      <c r="AG288" s="5"/>
      <c r="AH288" s="51"/>
      <c r="AI288" s="5"/>
    </row>
    <row r="289" spans="1:35" s="28" customFormat="1" ht="12.75" x14ac:dyDescent="0.2">
      <c r="A289" s="73"/>
      <c r="B289" s="73"/>
      <c r="C289" s="83"/>
      <c r="D289" s="84"/>
      <c r="E289" s="73"/>
      <c r="F289" s="84"/>
      <c r="G289" s="73"/>
      <c r="H289" s="84"/>
      <c r="I289" s="77"/>
      <c r="J289" s="77"/>
      <c r="K289" s="73"/>
      <c r="L289" s="30"/>
      <c r="M289" s="27"/>
      <c r="N289" s="27"/>
      <c r="O289" s="27"/>
      <c r="P289" s="27"/>
      <c r="Q289" s="27"/>
      <c r="R289" s="27"/>
      <c r="S289" s="27"/>
      <c r="T289" s="27"/>
      <c r="U289" s="30"/>
      <c r="V289" s="40"/>
      <c r="W289" s="40"/>
      <c r="X289" s="40">
        <v>13</v>
      </c>
      <c r="Y289" s="5">
        <f t="shared" si="17"/>
        <v>10.14</v>
      </c>
      <c r="Z289" s="18">
        <f t="shared" si="18"/>
        <v>8.32</v>
      </c>
      <c r="AA289" s="29">
        <f t="shared" si="19"/>
        <v>6.0580000000000007</v>
      </c>
      <c r="AB289" s="40">
        <f>AB288</f>
        <v>48.223350253807105</v>
      </c>
      <c r="AC289" s="18">
        <f>AC284</f>
        <v>37.614213197969541</v>
      </c>
      <c r="AD289" s="18"/>
      <c r="AE289" s="18"/>
      <c r="AF289" s="18"/>
      <c r="AG289" s="18"/>
      <c r="AH289" s="51"/>
      <c r="AI289" s="5"/>
    </row>
    <row r="290" spans="1:35" s="28" customFormat="1" ht="12.75" x14ac:dyDescent="0.2">
      <c r="A290" s="79"/>
      <c r="B290" s="73"/>
      <c r="C290" s="83"/>
      <c r="D290" s="84"/>
      <c r="E290" s="73"/>
      <c r="F290" s="84"/>
      <c r="G290" s="73"/>
      <c r="H290" s="84"/>
      <c r="I290" s="77"/>
      <c r="J290" s="77"/>
      <c r="K290" s="73"/>
      <c r="L290" s="30"/>
      <c r="M290" s="27"/>
      <c r="N290" s="27"/>
      <c r="O290" s="27"/>
      <c r="P290" s="27"/>
      <c r="Q290" s="27"/>
      <c r="R290" s="27"/>
      <c r="S290" s="27"/>
      <c r="T290" s="27"/>
      <c r="U290" s="30"/>
      <c r="V290" s="40"/>
      <c r="W290" s="40"/>
      <c r="X290" s="40">
        <v>15</v>
      </c>
      <c r="Y290" s="5">
        <f t="shared" si="17"/>
        <v>11.700000000000001</v>
      </c>
      <c r="Z290" s="18">
        <f t="shared" si="18"/>
        <v>9.6</v>
      </c>
      <c r="AA290" s="29">
        <f t="shared" si="19"/>
        <v>6.99</v>
      </c>
      <c r="AB290" s="18">
        <v>0</v>
      </c>
      <c r="AC290" s="18">
        <f>AC284</f>
        <v>37.614213197969541</v>
      </c>
      <c r="AD290" s="18"/>
      <c r="AE290" s="18"/>
      <c r="AF290" s="18"/>
      <c r="AG290" s="18"/>
      <c r="AH290" s="51"/>
      <c r="AI290" s="5"/>
    </row>
    <row r="291" spans="1:35" s="28" customFormat="1" ht="12.75" x14ac:dyDescent="0.2">
      <c r="A291" s="79"/>
      <c r="B291" s="79"/>
      <c r="C291" s="83"/>
      <c r="D291" s="84"/>
      <c r="E291" s="73"/>
      <c r="F291" s="84"/>
      <c r="G291" s="73"/>
      <c r="H291" s="84"/>
      <c r="I291" s="77"/>
      <c r="J291" s="77"/>
      <c r="K291" s="73"/>
      <c r="L291" s="30"/>
      <c r="M291" s="27"/>
      <c r="N291" s="27"/>
      <c r="O291" s="27"/>
      <c r="P291" s="27"/>
      <c r="Q291" s="27"/>
      <c r="R291" s="27"/>
      <c r="S291" s="27"/>
      <c r="T291" s="27"/>
      <c r="U291" s="30"/>
      <c r="V291" s="40"/>
      <c r="W291" s="40"/>
      <c r="X291" s="40">
        <v>17</v>
      </c>
      <c r="Y291" s="5">
        <f t="shared" si="17"/>
        <v>13.26</v>
      </c>
      <c r="Z291" s="18">
        <f t="shared" si="18"/>
        <v>10.88</v>
      </c>
      <c r="AA291" s="29">
        <f t="shared" si="19"/>
        <v>7.9220000000000006</v>
      </c>
      <c r="AB291" s="18"/>
      <c r="AC291" s="18"/>
      <c r="AD291" s="18"/>
      <c r="AE291" s="18"/>
      <c r="AF291" s="18"/>
      <c r="AG291" s="18"/>
      <c r="AH291" s="5"/>
      <c r="AI291" s="5"/>
    </row>
    <row r="292" spans="1:35" s="28" customFormat="1" ht="12.75" x14ac:dyDescent="0.2">
      <c r="A292" s="79"/>
      <c r="B292" s="79"/>
      <c r="C292" s="83"/>
      <c r="D292" s="84"/>
      <c r="E292" s="73"/>
      <c r="F292" s="84"/>
      <c r="G292" s="73"/>
      <c r="H292" s="84"/>
      <c r="I292" s="77"/>
      <c r="J292" s="77"/>
      <c r="K292" s="79"/>
      <c r="L292" s="30"/>
      <c r="M292" s="27"/>
      <c r="N292" s="27"/>
      <c r="O292" s="27"/>
      <c r="P292" s="27"/>
      <c r="Q292" s="27"/>
      <c r="R292" s="27"/>
      <c r="S292" s="27"/>
      <c r="T292" s="27"/>
      <c r="U292" s="30"/>
      <c r="V292" s="40"/>
      <c r="W292" s="40"/>
      <c r="X292" s="40">
        <v>21</v>
      </c>
      <c r="Y292" s="5">
        <f t="shared" si="17"/>
        <v>16.38</v>
      </c>
      <c r="Z292" s="18">
        <f t="shared" si="18"/>
        <v>13.44</v>
      </c>
      <c r="AA292" s="29">
        <f t="shared" si="19"/>
        <v>9.7860000000000014</v>
      </c>
      <c r="AB292" s="40">
        <f>AB288</f>
        <v>48.223350253807105</v>
      </c>
      <c r="AC292" s="18">
        <f>-AC288</f>
        <v>0</v>
      </c>
      <c r="AD292" s="18"/>
      <c r="AE292" s="18"/>
      <c r="AF292" s="18"/>
      <c r="AG292" s="18"/>
      <c r="AH292" s="5"/>
      <c r="AI292" s="5"/>
    </row>
    <row r="293" spans="1:35" s="28" customFormat="1" ht="12.75" x14ac:dyDescent="0.2">
      <c r="A293" s="79"/>
      <c r="B293" s="79"/>
      <c r="C293" s="83"/>
      <c r="D293" s="84"/>
      <c r="E293" s="73"/>
      <c r="F293" s="84"/>
      <c r="G293" s="73"/>
      <c r="H293" s="84"/>
      <c r="I293" s="77"/>
      <c r="J293" s="77"/>
      <c r="K293" s="79"/>
      <c r="L293" s="30"/>
      <c r="M293" s="27"/>
      <c r="N293" s="27"/>
      <c r="O293" s="27"/>
      <c r="P293" s="27"/>
      <c r="Q293" s="27"/>
      <c r="R293" s="27"/>
      <c r="S293" s="27"/>
      <c r="T293" s="27"/>
      <c r="U293" s="30"/>
      <c r="V293" s="40"/>
      <c r="W293" s="40"/>
      <c r="X293" s="40">
        <v>25</v>
      </c>
      <c r="Y293" s="5">
        <f t="shared" si="17"/>
        <v>19.5</v>
      </c>
      <c r="Z293" s="18">
        <f t="shared" si="18"/>
        <v>16</v>
      </c>
      <c r="AA293" s="29">
        <f t="shared" si="19"/>
        <v>11.65</v>
      </c>
      <c r="AB293" s="40">
        <f>AB289</f>
        <v>48.223350253807105</v>
      </c>
      <c r="AC293" s="18">
        <f>AD284</f>
        <v>30.862944162436548</v>
      </c>
      <c r="AD293" s="18"/>
      <c r="AE293" s="18"/>
      <c r="AF293" s="18"/>
      <c r="AG293" s="18"/>
      <c r="AH293" s="5"/>
      <c r="AI293" s="5"/>
    </row>
    <row r="294" spans="1:35" s="28" customFormat="1" ht="12.75" x14ac:dyDescent="0.2">
      <c r="A294" s="73"/>
      <c r="B294" s="73"/>
      <c r="C294" s="73"/>
      <c r="D294" s="73"/>
      <c r="E294" s="73"/>
      <c r="F294" s="73"/>
      <c r="G294" s="73"/>
      <c r="H294" s="73"/>
      <c r="I294" s="73"/>
      <c r="J294" s="73"/>
      <c r="K294" s="73"/>
      <c r="L294" s="30"/>
      <c r="M294" s="27"/>
      <c r="N294" s="27"/>
      <c r="O294" s="27"/>
      <c r="P294" s="27"/>
      <c r="Q294" s="27"/>
      <c r="R294" s="27"/>
      <c r="S294" s="27"/>
      <c r="T294" s="27"/>
      <c r="U294" s="30"/>
      <c r="V294" s="40"/>
      <c r="W294" s="40"/>
      <c r="X294" s="40">
        <v>29</v>
      </c>
      <c r="Y294" s="5">
        <f t="shared" si="17"/>
        <v>22.62</v>
      </c>
      <c r="Z294" s="18">
        <f t="shared" si="18"/>
        <v>18.559999999999999</v>
      </c>
      <c r="AA294" s="29">
        <f t="shared" si="19"/>
        <v>13.514000000000001</v>
      </c>
      <c r="AB294" s="18">
        <f>-AB290</f>
        <v>0</v>
      </c>
      <c r="AC294" s="52">
        <f>AD284</f>
        <v>30.862944162436548</v>
      </c>
      <c r="AD294" s="51"/>
      <c r="AE294" s="51"/>
      <c r="AF294" s="51"/>
      <c r="AG294" s="51"/>
      <c r="AH294" s="51"/>
      <c r="AI294" s="23"/>
    </row>
    <row r="295" spans="1:35" s="28" customFormat="1" ht="12.75" x14ac:dyDescent="0.2">
      <c r="A295" s="73"/>
      <c r="B295" s="73"/>
      <c r="C295" s="73"/>
      <c r="D295" s="73"/>
      <c r="E295" s="73"/>
      <c r="F295" s="73"/>
      <c r="G295" s="73"/>
      <c r="H295" s="73"/>
      <c r="I295" s="73"/>
      <c r="J295" s="73"/>
      <c r="K295" s="73"/>
      <c r="L295" s="30"/>
      <c r="M295" s="27"/>
      <c r="N295" s="27"/>
      <c r="O295" s="27"/>
      <c r="P295" s="27"/>
      <c r="Q295" s="27"/>
      <c r="R295" s="27"/>
      <c r="S295" s="27"/>
      <c r="T295" s="27"/>
      <c r="U295" s="30"/>
      <c r="V295" s="40"/>
      <c r="W295" s="40"/>
      <c r="X295" s="40">
        <v>33</v>
      </c>
      <c r="Y295" s="5">
        <f t="shared" si="17"/>
        <v>25.740000000000002</v>
      </c>
      <c r="Z295" s="18">
        <f t="shared" si="18"/>
        <v>21.12</v>
      </c>
      <c r="AA295" s="29">
        <f t="shared" si="19"/>
        <v>15.378</v>
      </c>
      <c r="AB295" s="18"/>
      <c r="AC295" s="18"/>
      <c r="AD295" s="5"/>
      <c r="AE295" s="45"/>
      <c r="AF295" s="45"/>
      <c r="AG295" s="45"/>
      <c r="AH295" s="45"/>
      <c r="AI295" s="44"/>
    </row>
    <row r="296" spans="1:35" s="28" customFormat="1" ht="12.75" x14ac:dyDescent="0.2">
      <c r="A296" s="80"/>
      <c r="B296" s="77"/>
      <c r="C296" s="77"/>
      <c r="D296" s="85"/>
      <c r="E296" s="73"/>
      <c r="F296" s="73"/>
      <c r="G296" s="73"/>
      <c r="H296" s="73"/>
      <c r="I296" s="73"/>
      <c r="J296" s="73"/>
      <c r="K296" s="73"/>
      <c r="L296" s="30"/>
      <c r="M296" s="27"/>
      <c r="N296" s="27"/>
      <c r="O296" s="27"/>
      <c r="P296" s="27"/>
      <c r="Q296" s="27"/>
      <c r="R296" s="27"/>
      <c r="S296" s="27"/>
      <c r="T296" s="27"/>
      <c r="U296" s="30"/>
      <c r="V296" s="40"/>
      <c r="W296" s="40"/>
      <c r="X296" s="40">
        <v>37</v>
      </c>
      <c r="Y296" s="5">
        <f t="shared" si="17"/>
        <v>28.86</v>
      </c>
      <c r="Z296" s="18">
        <f t="shared" si="18"/>
        <v>23.68</v>
      </c>
      <c r="AA296" s="29">
        <f t="shared" si="19"/>
        <v>17.242000000000001</v>
      </c>
      <c r="AB296" s="40">
        <f>AB292</f>
        <v>48.223350253807105</v>
      </c>
      <c r="AC296" s="18">
        <f>-AC292</f>
        <v>0</v>
      </c>
      <c r="AD296" s="18"/>
      <c r="AE296" s="45"/>
      <c r="AF296" s="45"/>
      <c r="AG296" s="45"/>
      <c r="AH296" s="45"/>
      <c r="AI296" s="44"/>
    </row>
    <row r="297" spans="1:35" s="28" customFormat="1" ht="12.75" x14ac:dyDescent="0.2">
      <c r="A297" s="76"/>
      <c r="B297" s="86"/>
      <c r="C297" s="87"/>
      <c r="D297" s="88"/>
      <c r="E297" s="73"/>
      <c r="F297" s="76"/>
      <c r="G297" s="78"/>
      <c r="H297" s="73"/>
      <c r="I297" s="77"/>
      <c r="J297" s="73"/>
      <c r="K297" s="73"/>
      <c r="L297" s="30"/>
      <c r="M297" s="27"/>
      <c r="N297" s="27"/>
      <c r="O297" s="27"/>
      <c r="P297" s="27"/>
      <c r="Q297" s="27"/>
      <c r="R297" s="27"/>
      <c r="S297" s="27"/>
      <c r="T297" s="27"/>
      <c r="U297" s="30"/>
      <c r="V297" s="40"/>
      <c r="W297" s="40"/>
      <c r="X297" s="40">
        <v>41</v>
      </c>
      <c r="Y297" s="5">
        <f t="shared" si="17"/>
        <v>31.98</v>
      </c>
      <c r="Z297" s="18">
        <f t="shared" si="18"/>
        <v>26.240000000000002</v>
      </c>
      <c r="AA297" s="29">
        <f t="shared" si="19"/>
        <v>19.106000000000002</v>
      </c>
      <c r="AB297" s="40">
        <f>AB293</f>
        <v>48.223350253807105</v>
      </c>
      <c r="AC297" s="18">
        <f>AE284</f>
        <v>22.472081218274113</v>
      </c>
      <c r="AD297" s="18"/>
      <c r="AE297" s="45"/>
      <c r="AF297" s="45"/>
      <c r="AG297" s="45"/>
      <c r="AH297" s="45"/>
      <c r="AI297" s="44"/>
    </row>
    <row r="298" spans="1:35" s="28" customFormat="1" ht="12.75" x14ac:dyDescent="0.2">
      <c r="A298" s="80"/>
      <c r="B298" s="77"/>
      <c r="C298" s="77"/>
      <c r="D298" s="88"/>
      <c r="E298" s="73"/>
      <c r="F298" s="76"/>
      <c r="G298" s="73"/>
      <c r="H298" s="73"/>
      <c r="I298" s="77"/>
      <c r="J298" s="81"/>
      <c r="K298" s="81"/>
      <c r="L298" s="30"/>
      <c r="M298" s="27"/>
      <c r="N298" s="27"/>
      <c r="O298" s="27"/>
      <c r="P298" s="27"/>
      <c r="Q298" s="27"/>
      <c r="R298" s="27"/>
      <c r="S298" s="27"/>
      <c r="T298" s="27"/>
      <c r="U298" s="30"/>
      <c r="V298" s="40"/>
      <c r="W298" s="40"/>
      <c r="X298" s="40">
        <f>X297+2</f>
        <v>43</v>
      </c>
      <c r="Y298" s="5">
        <f t="shared" si="17"/>
        <v>33.54</v>
      </c>
      <c r="Z298" s="18">
        <f t="shared" si="18"/>
        <v>27.52</v>
      </c>
      <c r="AA298" s="29">
        <f t="shared" si="19"/>
        <v>20.038</v>
      </c>
      <c r="AB298" s="18">
        <f>-AB294</f>
        <v>0</v>
      </c>
      <c r="AC298" s="52">
        <f>AE284</f>
        <v>22.472081218274113</v>
      </c>
      <c r="AD298" s="5"/>
      <c r="AE298" s="45"/>
      <c r="AF298" s="45"/>
      <c r="AG298" s="45"/>
      <c r="AH298" s="45"/>
      <c r="AI298" s="44"/>
    </row>
    <row r="299" spans="1:35" s="28" customFormat="1" ht="12.75" x14ac:dyDescent="0.2">
      <c r="A299" s="80"/>
      <c r="B299" s="89"/>
      <c r="C299" s="73"/>
      <c r="D299" s="73"/>
      <c r="E299" s="73"/>
      <c r="F299" s="80"/>
      <c r="G299" s="81"/>
      <c r="H299" s="73"/>
      <c r="I299" s="77"/>
      <c r="J299" s="81"/>
      <c r="K299" s="81"/>
      <c r="L299" s="30"/>
      <c r="M299" s="27"/>
      <c r="N299" s="27"/>
      <c r="O299" s="27"/>
      <c r="P299" s="27"/>
      <c r="Q299" s="27"/>
      <c r="R299" s="27"/>
      <c r="S299" s="27"/>
      <c r="T299" s="27"/>
      <c r="U299" s="30"/>
      <c r="V299" s="40"/>
      <c r="W299" s="40"/>
      <c r="X299" s="40">
        <f t="shared" ref="X299:X301" si="20">X298+2</f>
        <v>45</v>
      </c>
      <c r="Y299" s="5">
        <f t="shared" si="17"/>
        <v>35.1</v>
      </c>
      <c r="Z299" s="18">
        <f t="shared" si="18"/>
        <v>28.8</v>
      </c>
      <c r="AA299" s="29">
        <f t="shared" si="19"/>
        <v>20.970000000000002</v>
      </c>
      <c r="AB299" s="18"/>
      <c r="AC299" s="18"/>
      <c r="AD299" s="5"/>
      <c r="AE299" s="45"/>
      <c r="AF299" s="45"/>
      <c r="AG299" s="45"/>
      <c r="AH299" s="45"/>
      <c r="AI299" s="44"/>
    </row>
    <row r="300" spans="1:35" s="28" customFormat="1" ht="12.75" x14ac:dyDescent="0.2">
      <c r="A300" s="73"/>
      <c r="B300" s="77"/>
      <c r="C300" s="77"/>
      <c r="D300" s="90"/>
      <c r="E300" s="73"/>
      <c r="F300" s="80"/>
      <c r="G300" s="77"/>
      <c r="H300" s="77"/>
      <c r="I300" s="73"/>
      <c r="J300" s="73"/>
      <c r="K300" s="73"/>
      <c r="L300" s="30"/>
      <c r="M300" s="27"/>
      <c r="N300" s="27"/>
      <c r="O300" s="27"/>
      <c r="P300" s="27"/>
      <c r="Q300" s="27"/>
      <c r="R300" s="27"/>
      <c r="S300" s="27"/>
      <c r="T300" s="27"/>
      <c r="U300" s="30"/>
      <c r="V300" s="40"/>
      <c r="W300" s="40"/>
      <c r="X300" s="40">
        <f t="shared" si="20"/>
        <v>47</v>
      </c>
      <c r="Y300" s="5">
        <f t="shared" si="17"/>
        <v>36.660000000000004</v>
      </c>
      <c r="Z300" s="18">
        <f t="shared" si="18"/>
        <v>30.080000000000002</v>
      </c>
      <c r="AA300" s="29">
        <f t="shared" si="19"/>
        <v>21.902000000000001</v>
      </c>
      <c r="AB300" s="5"/>
      <c r="AC300" s="5"/>
      <c r="AD300" s="40"/>
      <c r="AE300" s="43"/>
      <c r="AF300" s="54"/>
      <c r="AG300" s="42"/>
      <c r="AH300" s="5"/>
      <c r="AI300" s="5"/>
    </row>
    <row r="301" spans="1:35" s="28" customFormat="1" ht="12.75" x14ac:dyDescent="0.2">
      <c r="A301" s="73"/>
      <c r="B301" s="73"/>
      <c r="C301" s="73"/>
      <c r="D301" s="73"/>
      <c r="E301" s="73"/>
      <c r="F301" s="80"/>
      <c r="G301" s="77"/>
      <c r="H301" s="77"/>
      <c r="I301" s="73"/>
      <c r="J301" s="73"/>
      <c r="K301" s="73"/>
      <c r="L301" s="30"/>
      <c r="M301" s="27"/>
      <c r="N301" s="27"/>
      <c r="O301" s="27"/>
      <c r="P301" s="27"/>
      <c r="Q301" s="27"/>
      <c r="R301" s="27"/>
      <c r="S301" s="27"/>
      <c r="T301" s="27"/>
      <c r="U301" s="30"/>
      <c r="V301" s="40"/>
      <c r="W301" s="40"/>
      <c r="X301" s="40">
        <f t="shared" si="20"/>
        <v>49</v>
      </c>
      <c r="Y301" s="5">
        <f t="shared" si="17"/>
        <v>38.22</v>
      </c>
      <c r="Z301" s="18">
        <f t="shared" si="18"/>
        <v>31.36</v>
      </c>
      <c r="AA301" s="29">
        <f t="shared" si="19"/>
        <v>22.834</v>
      </c>
      <c r="AB301" s="18"/>
      <c r="AC301" s="18"/>
      <c r="AD301" s="5"/>
      <c r="AE301" s="41"/>
      <c r="AF301" s="41"/>
      <c r="AG301" s="41"/>
      <c r="AH301" s="41"/>
      <c r="AI301" s="41"/>
    </row>
    <row r="302" spans="1:35" s="28" customFormat="1" ht="12.75" x14ac:dyDescent="0.2">
      <c r="A302" s="73"/>
      <c r="B302" s="91"/>
      <c r="C302" s="77"/>
      <c r="D302" s="90"/>
      <c r="E302" s="73"/>
      <c r="F302" s="73"/>
      <c r="G302" s="73"/>
      <c r="H302" s="73"/>
      <c r="I302" s="73"/>
      <c r="J302" s="73"/>
      <c r="K302" s="73"/>
      <c r="L302" s="30"/>
      <c r="M302" s="27"/>
      <c r="N302" s="27"/>
      <c r="O302" s="27"/>
      <c r="P302" s="27"/>
      <c r="Q302" s="27"/>
      <c r="R302" s="27"/>
      <c r="S302" s="27"/>
      <c r="T302" s="27"/>
      <c r="U302" s="30"/>
      <c r="V302" s="40"/>
      <c r="W302" s="40"/>
      <c r="X302" s="40">
        <f>X301+10</f>
        <v>59</v>
      </c>
      <c r="Y302" s="5">
        <f t="shared" si="17"/>
        <v>46.02</v>
      </c>
      <c r="Z302" s="18">
        <f t="shared" si="18"/>
        <v>37.76</v>
      </c>
      <c r="AA302" s="29">
        <f t="shared" si="19"/>
        <v>27.494</v>
      </c>
      <c r="AB302" s="18"/>
      <c r="AC302" s="18"/>
      <c r="AD302" s="18"/>
      <c r="AE302" s="41"/>
      <c r="AF302" s="41"/>
      <c r="AG302" s="41"/>
      <c r="AH302" s="41"/>
      <c r="AI302" s="41"/>
    </row>
    <row r="303" spans="1:35" s="28" customFormat="1" ht="12.75" x14ac:dyDescent="0.2">
      <c r="A303" s="73"/>
      <c r="B303" s="73"/>
      <c r="C303" s="73"/>
      <c r="D303" s="73"/>
      <c r="E303" s="73"/>
      <c r="F303" s="73"/>
      <c r="G303" s="73"/>
      <c r="H303" s="73"/>
      <c r="I303" s="73"/>
      <c r="J303" s="73"/>
      <c r="K303" s="73"/>
      <c r="L303" s="30"/>
      <c r="M303" s="27"/>
      <c r="N303" s="27"/>
      <c r="O303" s="27"/>
      <c r="P303" s="27"/>
      <c r="Q303" s="27"/>
      <c r="R303" s="27"/>
      <c r="S303" s="27"/>
      <c r="T303" s="27"/>
      <c r="U303" s="30"/>
      <c r="V303" s="40"/>
      <c r="W303" s="40"/>
      <c r="X303" s="40">
        <f t="shared" ref="X303:X306" si="21">X302+10</f>
        <v>69</v>
      </c>
      <c r="Y303" s="5">
        <f t="shared" si="17"/>
        <v>53.82</v>
      </c>
      <c r="Z303" s="18">
        <f t="shared" si="18"/>
        <v>44.160000000000004</v>
      </c>
      <c r="AA303" s="29">
        <f t="shared" si="19"/>
        <v>32.154000000000003</v>
      </c>
      <c r="AB303" s="18"/>
      <c r="AC303" s="18"/>
      <c r="AD303" s="5"/>
      <c r="AE303" s="41"/>
      <c r="AF303" s="41"/>
      <c r="AG303" s="41"/>
      <c r="AH303" s="41"/>
      <c r="AI303" s="41"/>
    </row>
    <row r="304" spans="1:35" s="28" customFormat="1" ht="12.75" x14ac:dyDescent="0.2">
      <c r="A304" s="80"/>
      <c r="B304" s="76"/>
      <c r="C304" s="73"/>
      <c r="D304" s="73"/>
      <c r="E304" s="73"/>
      <c r="F304" s="73"/>
      <c r="G304" s="73"/>
      <c r="H304" s="73"/>
      <c r="I304" s="73"/>
      <c r="J304" s="87"/>
      <c r="K304" s="73"/>
      <c r="L304" s="30"/>
      <c r="M304" s="27"/>
      <c r="N304" s="27"/>
      <c r="O304" s="27"/>
      <c r="P304" s="27"/>
      <c r="Q304" s="27"/>
      <c r="R304" s="27"/>
      <c r="S304" s="27"/>
      <c r="T304" s="27"/>
      <c r="U304" s="30"/>
      <c r="V304" s="40"/>
      <c r="W304" s="40"/>
      <c r="X304" s="40">
        <f t="shared" si="21"/>
        <v>79</v>
      </c>
      <c r="Y304" s="5">
        <f t="shared" si="17"/>
        <v>61.620000000000005</v>
      </c>
      <c r="Z304" s="18">
        <f t="shared" si="18"/>
        <v>50.56</v>
      </c>
      <c r="AA304" s="29">
        <f t="shared" si="19"/>
        <v>36.814</v>
      </c>
      <c r="AB304" s="18"/>
      <c r="AC304" s="18"/>
      <c r="AD304" s="5"/>
      <c r="AE304" s="41"/>
      <c r="AF304" s="41"/>
      <c r="AG304" s="41"/>
      <c r="AH304" s="41"/>
      <c r="AI304" s="41"/>
    </row>
    <row r="305" spans="1:35" s="28" customFormat="1" ht="12.75" x14ac:dyDescent="0.2">
      <c r="A305" s="73"/>
      <c r="B305" s="92"/>
      <c r="C305" s="93"/>
      <c r="D305" s="88"/>
      <c r="E305" s="73"/>
      <c r="F305" s="73"/>
      <c r="G305" s="73"/>
      <c r="H305" s="73"/>
      <c r="I305" s="73"/>
      <c r="J305" s="73"/>
      <c r="K305" s="73"/>
      <c r="L305" s="30"/>
      <c r="M305" s="27"/>
      <c r="N305" s="27"/>
      <c r="O305" s="27"/>
      <c r="P305" s="27"/>
      <c r="Q305" s="27"/>
      <c r="R305" s="27"/>
      <c r="S305" s="27"/>
      <c r="T305" s="27"/>
      <c r="U305" s="30"/>
      <c r="V305" s="40"/>
      <c r="W305" s="40"/>
      <c r="X305" s="40">
        <f t="shared" si="21"/>
        <v>89</v>
      </c>
      <c r="Y305" s="5">
        <f t="shared" si="17"/>
        <v>69.42</v>
      </c>
      <c r="Z305" s="18">
        <f t="shared" si="18"/>
        <v>56.96</v>
      </c>
      <c r="AA305" s="29">
        <f t="shared" si="19"/>
        <v>41.474000000000004</v>
      </c>
      <c r="AB305" s="18"/>
      <c r="AC305" s="18"/>
      <c r="AD305" s="5"/>
      <c r="AE305" s="41"/>
      <c r="AF305" s="41"/>
      <c r="AG305" s="41"/>
      <c r="AH305" s="41"/>
      <c r="AI305" s="41"/>
    </row>
    <row r="306" spans="1:35" s="28" customFormat="1" ht="12.75" x14ac:dyDescent="0.2">
      <c r="A306" s="73"/>
      <c r="B306" s="76"/>
      <c r="C306" s="78"/>
      <c r="D306" s="73"/>
      <c r="E306" s="73"/>
      <c r="F306" s="73"/>
      <c r="G306" s="73"/>
      <c r="H306" s="73"/>
      <c r="I306" s="73"/>
      <c r="J306" s="83"/>
      <c r="K306" s="73"/>
      <c r="L306" s="30"/>
      <c r="M306" s="27"/>
      <c r="N306" s="27"/>
      <c r="O306" s="27"/>
      <c r="P306" s="27"/>
      <c r="Q306" s="27"/>
      <c r="R306" s="27"/>
      <c r="S306" s="27"/>
      <c r="T306" s="27"/>
      <c r="U306" s="30"/>
      <c r="V306" s="40"/>
      <c r="W306" s="40"/>
      <c r="X306" s="40">
        <f t="shared" si="21"/>
        <v>99</v>
      </c>
      <c r="Y306" s="5">
        <f t="shared" si="17"/>
        <v>77.22</v>
      </c>
      <c r="Z306" s="18">
        <f t="shared" si="18"/>
        <v>63.36</v>
      </c>
      <c r="AA306" s="29">
        <f t="shared" si="19"/>
        <v>46.134</v>
      </c>
      <c r="AB306" s="5"/>
      <c r="AC306" s="5"/>
      <c r="AD306" s="5"/>
      <c r="AE306" s="5"/>
      <c r="AF306" s="5"/>
      <c r="AG306" s="5"/>
      <c r="AH306" s="5"/>
      <c r="AI306" s="5"/>
    </row>
    <row r="307" spans="1:35" s="28" customFormat="1" ht="12.75" x14ac:dyDescent="0.2">
      <c r="A307" s="80"/>
      <c r="F307" s="80"/>
      <c r="G307" s="89"/>
      <c r="H307" s="73"/>
      <c r="I307" s="73"/>
      <c r="J307" s="73"/>
      <c r="K307" s="73"/>
      <c r="L307" s="30"/>
      <c r="M307" s="27"/>
      <c r="N307" s="27"/>
      <c r="O307" s="27"/>
      <c r="P307" s="27"/>
      <c r="Q307" s="27"/>
      <c r="R307" s="27"/>
      <c r="S307" s="27"/>
      <c r="T307" s="27"/>
      <c r="U307" s="30"/>
      <c r="V307" s="40"/>
      <c r="W307" s="40"/>
      <c r="X307" s="40">
        <f>X306+10</f>
        <v>109</v>
      </c>
      <c r="Y307" s="5">
        <f t="shared" si="17"/>
        <v>85.02</v>
      </c>
      <c r="Z307" s="18">
        <f t="shared" si="18"/>
        <v>69.760000000000005</v>
      </c>
      <c r="AA307" s="29">
        <f t="shared" si="19"/>
        <v>50.794000000000004</v>
      </c>
      <c r="AB307" s="5"/>
      <c r="AC307" s="5"/>
      <c r="AD307" s="5"/>
      <c r="AE307" s="5"/>
      <c r="AF307" s="5"/>
      <c r="AG307" s="5"/>
      <c r="AH307" s="5"/>
      <c r="AI307" s="51"/>
    </row>
    <row r="308" spans="1:35" s="28" customFormat="1" ht="12.75" x14ac:dyDescent="0.2">
      <c r="A308" s="73"/>
      <c r="B308" s="139" t="s">
        <v>112</v>
      </c>
      <c r="C308" s="73"/>
      <c r="D308" s="73"/>
      <c r="E308" s="76" t="s">
        <v>107</v>
      </c>
      <c r="F308" s="78">
        <f>AC289</f>
        <v>37.614213197969541</v>
      </c>
      <c r="G308" s="91" t="s">
        <v>106</v>
      </c>
      <c r="H308" s="77"/>
      <c r="I308" s="73"/>
      <c r="J308" s="73"/>
      <c r="K308" s="73"/>
      <c r="L308" s="30"/>
      <c r="M308" s="27"/>
      <c r="N308" s="27"/>
      <c r="O308" s="27"/>
      <c r="P308" s="27"/>
      <c r="Q308" s="27"/>
      <c r="R308" s="27"/>
      <c r="S308" s="27"/>
      <c r="T308" s="27"/>
      <c r="U308" s="30"/>
      <c r="V308" s="40"/>
      <c r="W308" s="40"/>
      <c r="X308" s="40">
        <v>120</v>
      </c>
      <c r="Y308" s="5">
        <f t="shared" si="17"/>
        <v>93.600000000000009</v>
      </c>
      <c r="Z308" s="18">
        <f t="shared" si="18"/>
        <v>76.8</v>
      </c>
      <c r="AA308" s="29">
        <f t="shared" si="19"/>
        <v>55.92</v>
      </c>
      <c r="AB308" s="5"/>
      <c r="AC308" s="5"/>
      <c r="AD308" s="5"/>
      <c r="AE308" s="5"/>
      <c r="AF308" s="5"/>
      <c r="AG308" s="5"/>
      <c r="AH308" s="5"/>
      <c r="AI308" s="51"/>
    </row>
    <row r="309" spans="1:35" s="28" customFormat="1" ht="12.75" x14ac:dyDescent="0.2">
      <c r="A309" s="73"/>
      <c r="B309" s="140"/>
      <c r="E309" s="135"/>
      <c r="F309" s="78"/>
      <c r="G309" s="73"/>
      <c r="H309" s="73"/>
      <c r="I309" s="73"/>
      <c r="J309" s="73"/>
      <c r="K309" s="73"/>
      <c r="L309" s="30"/>
      <c r="M309" s="27"/>
      <c r="N309" s="27"/>
      <c r="O309" s="27"/>
      <c r="P309" s="27"/>
      <c r="Q309" s="27"/>
      <c r="R309" s="27"/>
      <c r="S309" s="27"/>
      <c r="T309" s="27"/>
      <c r="U309" s="30"/>
      <c r="V309" s="40"/>
      <c r="W309" s="40"/>
      <c r="X309" s="30"/>
      <c r="Y309" s="18"/>
      <c r="Z309" s="18"/>
      <c r="AA309" s="40"/>
      <c r="AB309" s="5"/>
      <c r="AC309" s="5"/>
      <c r="AD309" s="5"/>
      <c r="AE309" s="5"/>
      <c r="AF309" s="5"/>
      <c r="AG309" s="5"/>
      <c r="AH309" s="5"/>
      <c r="AI309" s="51"/>
    </row>
    <row r="310" spans="1:35" s="28" customFormat="1" ht="12.75" x14ac:dyDescent="0.2">
      <c r="A310" s="80"/>
      <c r="B310" s="139" t="s">
        <v>113</v>
      </c>
      <c r="C310" s="93"/>
      <c r="D310" s="88"/>
      <c r="E310" s="76" t="s">
        <v>108</v>
      </c>
      <c r="F310" s="136">
        <f>AC293</f>
        <v>30.862944162436548</v>
      </c>
      <c r="G310" s="91" t="s">
        <v>106</v>
      </c>
      <c r="H310" s="73"/>
      <c r="I310" s="73"/>
      <c r="J310" s="73"/>
      <c r="K310" s="73"/>
      <c r="L310" s="30"/>
      <c r="M310" s="27"/>
      <c r="N310" s="27"/>
      <c r="O310" s="27"/>
      <c r="P310" s="27"/>
      <c r="Q310" s="27"/>
      <c r="R310" s="27"/>
      <c r="S310" s="27"/>
      <c r="T310" s="27"/>
      <c r="U310" s="30"/>
      <c r="V310" s="40"/>
      <c r="W310" s="40"/>
      <c r="X310" s="30"/>
      <c r="Y310" s="18"/>
      <c r="Z310" s="5"/>
      <c r="AA310" s="40"/>
      <c r="AB310" s="5"/>
      <c r="AC310" s="5"/>
      <c r="AD310" s="5"/>
      <c r="AE310" s="5"/>
      <c r="AF310" s="5"/>
      <c r="AG310" s="5"/>
      <c r="AH310" s="5"/>
      <c r="AI310" s="51"/>
    </row>
    <row r="311" spans="1:35" s="28" customFormat="1" ht="12.75" x14ac:dyDescent="0.2">
      <c r="A311" s="73"/>
      <c r="B311" s="141"/>
      <c r="C311" s="96"/>
      <c r="D311" s="88"/>
      <c r="E311" s="83"/>
      <c r="F311" s="73"/>
      <c r="G311" s="96"/>
      <c r="H311" s="77"/>
      <c r="I311" s="97"/>
      <c r="J311" s="73"/>
      <c r="K311" s="73"/>
      <c r="L311" s="30"/>
      <c r="M311" s="27"/>
      <c r="N311" s="27"/>
      <c r="O311" s="27"/>
      <c r="P311" s="27"/>
      <c r="Q311" s="27"/>
      <c r="R311" s="27"/>
      <c r="S311" s="27"/>
      <c r="T311" s="27"/>
      <c r="U311" s="30"/>
      <c r="V311" s="40"/>
      <c r="W311" s="40"/>
      <c r="X311" s="30"/>
      <c r="Y311" s="18"/>
      <c r="Z311" s="5"/>
      <c r="AA311" s="40"/>
      <c r="AB311" s="5"/>
      <c r="AC311" s="5"/>
      <c r="AD311" s="5"/>
      <c r="AE311" s="5"/>
      <c r="AF311" s="5"/>
      <c r="AG311" s="5"/>
      <c r="AH311" s="5"/>
      <c r="AI311" s="5"/>
    </row>
    <row r="312" spans="1:35" s="28" customFormat="1" ht="12.75" x14ac:dyDescent="0.2">
      <c r="A312" s="73"/>
      <c r="B312" s="142" t="s">
        <v>114</v>
      </c>
      <c r="C312" s="95"/>
      <c r="D312" s="73"/>
      <c r="E312" s="76" t="s">
        <v>109</v>
      </c>
      <c r="F312" s="136">
        <f>AC298</f>
        <v>22.472081218274113</v>
      </c>
      <c r="G312" s="91" t="s">
        <v>106</v>
      </c>
      <c r="H312" s="73"/>
      <c r="I312" s="73"/>
      <c r="J312" s="73"/>
      <c r="K312" s="73"/>
      <c r="L312" s="30"/>
      <c r="M312" s="27"/>
      <c r="N312" s="27"/>
      <c r="O312" s="27"/>
      <c r="P312" s="27"/>
      <c r="Q312" s="27"/>
      <c r="R312" s="27"/>
      <c r="S312" s="27"/>
      <c r="T312" s="27"/>
      <c r="U312" s="30"/>
      <c r="V312" s="40"/>
      <c r="W312" s="40"/>
      <c r="X312" s="30"/>
      <c r="Y312" s="5"/>
      <c r="Z312" s="5"/>
      <c r="AA312" s="5"/>
      <c r="AB312" s="5"/>
      <c r="AC312" s="5"/>
      <c r="AD312" s="5"/>
      <c r="AE312" s="5"/>
      <c r="AF312" s="5"/>
      <c r="AG312" s="5"/>
      <c r="AH312" s="51"/>
      <c r="AI312" s="5"/>
    </row>
    <row r="313" spans="1:35" s="28" customFormat="1" ht="12.75" x14ac:dyDescent="0.2">
      <c r="A313" s="73"/>
      <c r="B313" s="76"/>
      <c r="C313" s="98"/>
      <c r="D313" s="73"/>
      <c r="E313" s="73"/>
      <c r="F313" s="82"/>
      <c r="G313" s="73"/>
      <c r="H313" s="73"/>
      <c r="I313" s="82"/>
      <c r="J313" s="73"/>
      <c r="K313" s="73"/>
      <c r="L313" s="30"/>
      <c r="M313" s="27"/>
      <c r="N313" s="27"/>
      <c r="O313" s="27"/>
      <c r="P313" s="27"/>
      <c r="Q313" s="27"/>
      <c r="R313" s="27"/>
      <c r="S313" s="27"/>
      <c r="T313" s="27"/>
      <c r="U313" s="30"/>
      <c r="V313" s="40"/>
      <c r="W313" s="40"/>
      <c r="X313" s="30"/>
      <c r="Y313" s="18"/>
      <c r="Z313" s="5"/>
      <c r="AA313" s="55"/>
      <c r="AB313" s="5"/>
      <c r="AC313" s="5"/>
      <c r="AD313" s="5"/>
      <c r="AE313" s="5"/>
      <c r="AF313" s="5"/>
      <c r="AG313" s="5"/>
      <c r="AH313" s="5"/>
      <c r="AI313" s="5"/>
    </row>
    <row r="314" spans="1:35" s="28" customFormat="1" ht="12.75" x14ac:dyDescent="0.2">
      <c r="A314" s="73"/>
      <c r="B314" s="76"/>
      <c r="C314" s="99"/>
      <c r="D314" s="73"/>
      <c r="E314" s="74"/>
      <c r="F314" s="82"/>
      <c r="G314" s="73"/>
      <c r="H314" s="73"/>
      <c r="I314" s="82"/>
      <c r="J314" s="73"/>
      <c r="K314" s="73"/>
      <c r="L314" s="30"/>
      <c r="M314" s="27"/>
      <c r="N314" s="27"/>
      <c r="O314" s="27"/>
      <c r="P314" s="27"/>
      <c r="Q314" s="27"/>
      <c r="R314" s="27"/>
      <c r="S314" s="27"/>
      <c r="T314" s="27"/>
      <c r="U314" s="30"/>
      <c r="V314" s="40"/>
      <c r="W314" s="40"/>
      <c r="X314" s="30"/>
      <c r="Y314" s="52"/>
      <c r="Z314" s="5"/>
      <c r="AA314" s="41"/>
      <c r="AB314" s="5"/>
      <c r="AC314" s="5"/>
      <c r="AD314" s="5"/>
      <c r="AE314" s="5"/>
      <c r="AF314" s="5"/>
      <c r="AG314" s="5"/>
      <c r="AH314" s="5"/>
      <c r="AI314" s="5"/>
    </row>
    <row r="315" spans="1:35" s="28" customFormat="1" ht="12.75" x14ac:dyDescent="0.2">
      <c r="A315" s="73"/>
      <c r="B315" s="74"/>
      <c r="C315" s="74"/>
      <c r="D315" s="82"/>
      <c r="E315" s="74"/>
      <c r="F315" s="82"/>
      <c r="G315" s="73"/>
      <c r="H315" s="73"/>
      <c r="I315" s="82"/>
      <c r="J315" s="73"/>
      <c r="K315" s="73"/>
      <c r="L315" s="30"/>
      <c r="M315" s="27"/>
      <c r="N315" s="27"/>
      <c r="O315" s="27"/>
      <c r="P315" s="27"/>
      <c r="Q315" s="27"/>
      <c r="R315" s="27"/>
      <c r="S315" s="27"/>
      <c r="T315" s="27"/>
      <c r="U315" s="30"/>
      <c r="V315" s="40"/>
      <c r="W315" s="40"/>
      <c r="X315" s="30"/>
      <c r="Y315" s="52"/>
      <c r="Z315" s="18"/>
      <c r="AA315" s="41"/>
      <c r="AB315" s="5"/>
      <c r="AC315" s="5"/>
      <c r="AD315" s="5"/>
      <c r="AE315" s="5"/>
      <c r="AF315" s="5"/>
      <c r="AG315" s="5"/>
      <c r="AH315" s="5"/>
      <c r="AI315" s="5"/>
    </row>
    <row r="316" spans="1:35" s="28" customFormat="1" ht="12.75" x14ac:dyDescent="0.2">
      <c r="A316" s="73"/>
      <c r="B316" s="100"/>
      <c r="C316" s="82"/>
      <c r="D316" s="82"/>
      <c r="E316" s="74"/>
      <c r="F316" s="82"/>
      <c r="G316" s="73"/>
      <c r="H316" s="73"/>
      <c r="I316" s="82"/>
      <c r="J316" s="73"/>
      <c r="K316" s="73"/>
      <c r="L316" s="30"/>
      <c r="M316" s="27"/>
      <c r="N316" s="27"/>
      <c r="O316" s="27"/>
      <c r="P316" s="27"/>
      <c r="Q316" s="27"/>
      <c r="R316" s="27"/>
      <c r="S316" s="27"/>
      <c r="T316" s="27"/>
      <c r="U316" s="30"/>
      <c r="V316" s="40"/>
      <c r="W316" s="40"/>
      <c r="X316" s="30"/>
      <c r="Y316" s="18"/>
      <c r="Z316" s="51"/>
      <c r="AA316" s="55"/>
      <c r="AB316" s="51"/>
      <c r="AC316" s="5"/>
      <c r="AD316" s="5"/>
      <c r="AE316" s="5"/>
      <c r="AF316" s="5"/>
      <c r="AG316" s="5"/>
      <c r="AH316" s="5"/>
      <c r="AI316" s="5"/>
    </row>
    <row r="317" spans="1:35" s="28" customFormat="1" ht="12.75" x14ac:dyDescent="0.2">
      <c r="A317" s="73"/>
      <c r="B317" s="82"/>
      <c r="C317" s="82"/>
      <c r="D317" s="74"/>
      <c r="E317" s="82"/>
      <c r="F317" s="73"/>
      <c r="G317" s="73"/>
      <c r="H317" s="82"/>
      <c r="I317" s="73"/>
      <c r="J317" s="73"/>
      <c r="K317" s="73"/>
      <c r="L317" s="30"/>
      <c r="M317" s="27"/>
      <c r="N317" s="27"/>
      <c r="O317" s="27"/>
      <c r="P317" s="27"/>
      <c r="Q317" s="27"/>
      <c r="R317" s="27"/>
      <c r="S317" s="27"/>
      <c r="T317" s="27"/>
      <c r="U317" s="30"/>
      <c r="V317" s="40"/>
      <c r="W317" s="40"/>
      <c r="X317" s="30"/>
      <c r="Y317" s="18"/>
      <c r="Z317" s="5"/>
      <c r="AA317" s="41"/>
      <c r="AB317" s="5"/>
      <c r="AC317" s="5"/>
      <c r="AD317" s="5"/>
      <c r="AE317" s="5"/>
      <c r="AF317" s="5"/>
      <c r="AG317" s="5"/>
      <c r="AH317" s="5"/>
      <c r="AI317" s="5"/>
    </row>
    <row r="318" spans="1:35" s="28" customFormat="1" ht="12.75" x14ac:dyDescent="0.2">
      <c r="A318" s="5"/>
      <c r="B318" s="5"/>
      <c r="C318" s="46"/>
      <c r="D318" s="46"/>
      <c r="E318" s="46"/>
      <c r="F318" s="46"/>
      <c r="G318" s="5"/>
      <c r="H318" s="46"/>
      <c r="I318" s="46"/>
      <c r="J318" s="5"/>
      <c r="K318" s="5"/>
      <c r="L318" s="30"/>
      <c r="M318" s="27"/>
      <c r="N318" s="27"/>
      <c r="O318" s="27"/>
      <c r="P318" s="27"/>
      <c r="Q318" s="27"/>
      <c r="R318" s="27"/>
      <c r="S318" s="27"/>
      <c r="T318" s="27"/>
      <c r="U318" s="30"/>
      <c r="V318" s="40"/>
      <c r="W318" s="40"/>
      <c r="X318" s="30"/>
      <c r="Y318" s="5"/>
      <c r="Z318" s="5"/>
      <c r="AA318" s="5"/>
      <c r="AB318" s="5"/>
      <c r="AC318" s="5"/>
      <c r="AD318" s="5"/>
      <c r="AE318" s="5"/>
      <c r="AF318" s="5"/>
      <c r="AG318" s="5"/>
      <c r="AH318" s="5"/>
      <c r="AI318" s="5"/>
    </row>
    <row r="319" spans="1:35" s="28" customFormat="1" ht="12.75" x14ac:dyDescent="0.2">
      <c r="A319" s="5"/>
      <c r="B319" s="46"/>
      <c r="C319" s="53"/>
      <c r="D319" s="43"/>
      <c r="E319" s="49"/>
      <c r="F319" s="40"/>
      <c r="G319" s="5"/>
      <c r="H319" s="49"/>
      <c r="I319" s="40"/>
      <c r="J319" s="47"/>
      <c r="K319" s="47"/>
      <c r="L319" s="30"/>
      <c r="M319" s="27"/>
      <c r="N319" s="27"/>
      <c r="O319" s="27"/>
      <c r="P319" s="27"/>
      <c r="Q319" s="27"/>
      <c r="R319" s="27"/>
      <c r="S319" s="27"/>
      <c r="T319" s="27"/>
      <c r="U319" s="30"/>
      <c r="V319" s="40"/>
      <c r="W319" s="40"/>
      <c r="X319" s="30"/>
    </row>
    <row r="320" spans="1:35" s="28" customFormat="1" ht="12.75" x14ac:dyDescent="0.2">
      <c r="A320" s="5"/>
      <c r="B320" s="46"/>
      <c r="C320" s="53"/>
      <c r="D320" s="43"/>
      <c r="E320" s="49"/>
      <c r="F320" s="40"/>
      <c r="G320" s="5"/>
      <c r="H320" s="49"/>
      <c r="I320" s="40"/>
      <c r="J320" s="47"/>
      <c r="K320" s="47"/>
      <c r="L320" s="30"/>
      <c r="M320" s="27"/>
      <c r="N320" s="27"/>
      <c r="O320" s="27"/>
      <c r="P320" s="27"/>
      <c r="Q320" s="27"/>
      <c r="R320" s="27"/>
      <c r="S320" s="27"/>
      <c r="T320" s="27"/>
      <c r="U320" s="30"/>
      <c r="V320" s="40"/>
      <c r="W320" s="40"/>
      <c r="X320" s="30"/>
    </row>
    <row r="321" spans="1:24" s="28" customFormat="1" ht="12.75" x14ac:dyDescent="0.2">
      <c r="A321" s="5"/>
      <c r="B321" s="46"/>
      <c r="C321" s="53"/>
      <c r="D321" s="43"/>
      <c r="E321" s="49"/>
      <c r="F321" s="40"/>
      <c r="G321" s="5"/>
      <c r="H321" s="49"/>
      <c r="I321" s="40"/>
      <c r="J321" s="47"/>
      <c r="K321" s="47"/>
      <c r="L321" s="30"/>
      <c r="M321" s="27"/>
      <c r="N321" s="27"/>
      <c r="O321" s="27"/>
      <c r="P321" s="27"/>
      <c r="Q321" s="27"/>
      <c r="R321" s="27"/>
      <c r="S321" s="27"/>
      <c r="T321" s="27"/>
      <c r="U321" s="30"/>
      <c r="V321" s="56"/>
      <c r="W321" s="40"/>
      <c r="X321" s="30"/>
    </row>
    <row r="322" spans="1:24" s="28" customFormat="1" ht="12.75" x14ac:dyDescent="0.2">
      <c r="A322" s="5"/>
      <c r="B322" s="46"/>
      <c r="C322" s="53"/>
      <c r="D322" s="43"/>
      <c r="E322" s="49"/>
      <c r="F322" s="40"/>
      <c r="G322" s="5"/>
      <c r="H322" s="49"/>
      <c r="I322" s="40"/>
      <c r="J322" s="47"/>
      <c r="K322" s="47"/>
      <c r="L322" s="30"/>
      <c r="M322" s="27"/>
      <c r="N322" s="27"/>
      <c r="O322" s="27"/>
      <c r="P322" s="27"/>
      <c r="Q322" s="27"/>
      <c r="R322" s="27"/>
      <c r="S322" s="27"/>
      <c r="T322" s="27"/>
      <c r="U322" s="30"/>
      <c r="V322" s="5"/>
      <c r="W322" s="5"/>
      <c r="X322" s="30"/>
    </row>
    <row r="323" spans="1:24" s="28" customFormat="1" ht="12.75" x14ac:dyDescent="0.2">
      <c r="A323" s="58"/>
      <c r="B323" s="59"/>
      <c r="C323" s="60"/>
      <c r="D323" s="58"/>
      <c r="E323" s="58"/>
      <c r="F323" s="58"/>
      <c r="G323" s="60"/>
      <c r="H323" s="58"/>
      <c r="I323" s="58"/>
      <c r="J323" s="58"/>
      <c r="K323" s="58"/>
      <c r="L323" s="30"/>
      <c r="M323" s="27"/>
      <c r="N323" s="27"/>
      <c r="O323" s="27"/>
      <c r="P323" s="27"/>
      <c r="Q323" s="27"/>
      <c r="R323" s="27"/>
      <c r="S323" s="27"/>
      <c r="T323" s="27"/>
      <c r="U323" s="30"/>
      <c r="V323" s="30"/>
      <c r="W323" s="30"/>
      <c r="X323" s="30"/>
    </row>
    <row r="324" spans="1:24" s="28" customFormat="1" ht="12.75" x14ac:dyDescent="0.2">
      <c r="A324" s="58"/>
      <c r="B324" s="59"/>
      <c r="C324" s="60"/>
      <c r="D324" s="58"/>
      <c r="E324" s="58"/>
      <c r="F324" s="58"/>
      <c r="G324" s="60"/>
      <c r="H324" s="58"/>
      <c r="I324" s="58"/>
      <c r="J324" s="58"/>
      <c r="K324" s="58"/>
      <c r="L324" s="30"/>
      <c r="M324" s="27"/>
      <c r="N324" s="27"/>
      <c r="O324" s="27"/>
      <c r="P324" s="27"/>
      <c r="Q324" s="27"/>
      <c r="R324" s="27"/>
      <c r="S324" s="27"/>
      <c r="T324" s="27"/>
      <c r="U324" s="30"/>
      <c r="V324" s="30"/>
      <c r="W324" s="30"/>
      <c r="X324" s="30"/>
    </row>
    <row r="325" spans="1:24" s="28" customFormat="1" ht="12.75" x14ac:dyDescent="0.2">
      <c r="A325" s="58"/>
      <c r="B325" s="59"/>
      <c r="C325" s="60"/>
      <c r="D325" s="58"/>
      <c r="E325" s="58"/>
      <c r="F325" s="58"/>
      <c r="G325" s="60"/>
      <c r="H325" s="58"/>
      <c r="I325" s="58"/>
      <c r="J325" s="58"/>
      <c r="K325" s="58"/>
      <c r="L325" s="30"/>
      <c r="M325" s="27"/>
      <c r="N325" s="27"/>
      <c r="O325" s="27"/>
      <c r="P325" s="27"/>
      <c r="Q325" s="27"/>
      <c r="R325" s="27"/>
      <c r="S325" s="27"/>
      <c r="T325" s="27"/>
      <c r="U325" s="30"/>
      <c r="V325" s="30"/>
      <c r="W325" s="30"/>
      <c r="X325" s="30"/>
    </row>
    <row r="326" spans="1:24" s="28" customFormat="1" ht="12.75" x14ac:dyDescent="0.2">
      <c r="A326" s="58"/>
      <c r="B326" s="59"/>
      <c r="C326" s="60"/>
      <c r="D326" s="58"/>
      <c r="E326" s="58"/>
      <c r="F326" s="58"/>
      <c r="G326" s="60"/>
      <c r="H326" s="58"/>
      <c r="I326" s="58"/>
      <c r="J326" s="58"/>
      <c r="K326" s="58"/>
      <c r="L326" s="30"/>
      <c r="M326" s="27"/>
      <c r="N326" s="27"/>
      <c r="O326" s="27"/>
      <c r="P326" s="27"/>
      <c r="Q326" s="27"/>
      <c r="R326" s="27"/>
      <c r="S326" s="27"/>
      <c r="T326" s="27"/>
      <c r="U326" s="30"/>
      <c r="V326" s="30"/>
      <c r="W326" s="30"/>
      <c r="X326" s="30"/>
    </row>
    <row r="327" spans="1:24" s="28" customFormat="1" ht="12.75" x14ac:dyDescent="0.2">
      <c r="A327" s="58"/>
      <c r="B327" s="59"/>
      <c r="C327" s="60"/>
      <c r="D327" s="58"/>
      <c r="E327" s="58"/>
      <c r="F327" s="58"/>
      <c r="G327" s="60"/>
      <c r="H327" s="58"/>
      <c r="I327" s="58"/>
      <c r="J327" s="58"/>
      <c r="K327" s="58"/>
      <c r="L327" s="30"/>
      <c r="M327" s="27"/>
      <c r="N327" s="27"/>
      <c r="O327" s="27"/>
      <c r="P327" s="27"/>
      <c r="Q327" s="27"/>
      <c r="R327" s="27"/>
      <c r="S327" s="27"/>
      <c r="T327" s="27"/>
      <c r="U327" s="30"/>
      <c r="V327" s="30"/>
      <c r="W327" s="30"/>
      <c r="X327" s="30"/>
    </row>
    <row r="328" spans="1:24" s="28" customFormat="1" ht="12.75" x14ac:dyDescent="0.2">
      <c r="A328" s="58"/>
      <c r="B328" s="59"/>
      <c r="C328" s="60"/>
      <c r="D328" s="58"/>
      <c r="E328" s="58"/>
      <c r="F328" s="58"/>
      <c r="G328" s="60"/>
      <c r="H328" s="58"/>
      <c r="I328" s="58"/>
      <c r="J328" s="58"/>
      <c r="K328" s="58"/>
      <c r="L328" s="30"/>
      <c r="M328" s="27"/>
      <c r="N328" s="27"/>
      <c r="O328" s="27"/>
      <c r="P328" s="27"/>
      <c r="Q328" s="27"/>
      <c r="R328" s="27"/>
      <c r="S328" s="27"/>
      <c r="T328" s="27"/>
      <c r="U328" s="30"/>
      <c r="V328" s="30"/>
      <c r="W328" s="30"/>
      <c r="X328" s="30"/>
    </row>
    <row r="329" spans="1:24" s="28" customFormat="1" ht="12.75" x14ac:dyDescent="0.2">
      <c r="A329" s="145" t="s">
        <v>118</v>
      </c>
      <c r="B329" s="146"/>
      <c r="C329" s="146"/>
      <c r="D329" s="146"/>
      <c r="E329" s="146"/>
      <c r="F329" s="146"/>
      <c r="G329" s="147"/>
      <c r="H329" s="147"/>
      <c r="I329" s="147"/>
      <c r="J329" s="147"/>
      <c r="K329" s="148"/>
      <c r="L329" s="30"/>
      <c r="M329" s="27"/>
      <c r="N329" s="27"/>
      <c r="O329" s="27"/>
      <c r="P329" s="27"/>
      <c r="Q329" s="27"/>
      <c r="R329" s="27"/>
      <c r="S329" s="27"/>
      <c r="T329" s="27"/>
      <c r="U329" s="30"/>
      <c r="V329" s="30"/>
      <c r="W329" s="30"/>
      <c r="X329" s="30"/>
    </row>
    <row r="330" spans="1:24" s="28" customFormat="1" ht="12.75" x14ac:dyDescent="0.2">
      <c r="A330" s="149"/>
      <c r="B330" s="149"/>
      <c r="C330" s="149"/>
      <c r="D330" s="150"/>
      <c r="E330" s="150"/>
      <c r="F330" s="151" t="s">
        <v>119</v>
      </c>
      <c r="G330" s="152" t="s">
        <v>120</v>
      </c>
      <c r="H330" s="153"/>
      <c r="I330" s="154"/>
      <c r="J330" s="154"/>
      <c r="K330" s="155"/>
      <c r="L330" s="30"/>
      <c r="M330" s="27"/>
      <c r="N330" s="27"/>
      <c r="O330" s="27"/>
      <c r="P330" s="27"/>
      <c r="Q330" s="27"/>
      <c r="R330" s="27"/>
      <c r="S330" s="27"/>
      <c r="T330" s="27"/>
      <c r="U330" s="30"/>
      <c r="V330" s="30"/>
      <c r="W330" s="30"/>
      <c r="X330" s="30"/>
    </row>
    <row r="331" spans="1:24" s="26" customFormat="1" ht="12.75" x14ac:dyDescent="0.2">
      <c r="M331" s="27"/>
      <c r="N331" s="27"/>
      <c r="O331" s="27"/>
      <c r="P331" s="27"/>
      <c r="Q331" s="27"/>
      <c r="R331" s="27"/>
      <c r="S331" s="27"/>
      <c r="T331" s="27"/>
    </row>
    <row r="332" spans="1:24" s="26" customFormat="1" ht="12.75" x14ac:dyDescent="0.2">
      <c r="M332" s="27"/>
      <c r="N332" s="27"/>
      <c r="O332" s="27"/>
      <c r="P332" s="27"/>
      <c r="Q332" s="27"/>
      <c r="R332" s="27"/>
      <c r="S332" s="27"/>
      <c r="T332" s="27"/>
    </row>
    <row r="333" spans="1:24" s="26" customFormat="1" ht="12.75" x14ac:dyDescent="0.2">
      <c r="M333" s="27"/>
      <c r="N333" s="27"/>
      <c r="O333" s="27"/>
      <c r="P333" s="27"/>
      <c r="Q333" s="27"/>
      <c r="R333" s="27"/>
      <c r="S333" s="27"/>
      <c r="T333" s="27"/>
    </row>
    <row r="334" spans="1:24" s="26" customFormat="1" ht="12.75" x14ac:dyDescent="0.2">
      <c r="M334" s="27"/>
      <c r="N334" s="27"/>
      <c r="O334" s="27"/>
      <c r="P334" s="27"/>
      <c r="Q334" s="27"/>
      <c r="R334" s="27"/>
      <c r="S334" s="27"/>
      <c r="T334" s="27"/>
    </row>
    <row r="335" spans="1:24" s="26" customFormat="1" ht="12.75" x14ac:dyDescent="0.2">
      <c r="M335" s="27"/>
      <c r="N335" s="27"/>
      <c r="O335" s="27"/>
      <c r="P335" s="27"/>
      <c r="Q335" s="27"/>
      <c r="R335" s="27"/>
      <c r="S335" s="27"/>
      <c r="T335" s="27"/>
    </row>
    <row r="336" spans="1:24"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row r="7759" spans="13:20" s="26" customFormat="1" ht="12.75" x14ac:dyDescent="0.2">
      <c r="M7759" s="27"/>
      <c r="N7759" s="27"/>
      <c r="O7759" s="27"/>
      <c r="P7759" s="27"/>
      <c r="Q7759" s="27"/>
      <c r="R7759" s="27"/>
      <c r="S7759" s="27"/>
      <c r="T7759" s="27"/>
    </row>
    <row r="7760" spans="13:20" s="26" customFormat="1" ht="12.75" x14ac:dyDescent="0.2">
      <c r="M7760" s="27"/>
      <c r="N7760" s="27"/>
      <c r="O7760" s="27"/>
      <c r="P7760" s="27"/>
      <c r="Q7760" s="27"/>
      <c r="R7760" s="27"/>
      <c r="S7760" s="27"/>
      <c r="T7760" s="27"/>
    </row>
    <row r="7761" spans="13:20" s="26" customFormat="1" ht="12.75" x14ac:dyDescent="0.2">
      <c r="M7761" s="27"/>
      <c r="N7761" s="27"/>
      <c r="O7761" s="27"/>
      <c r="P7761" s="27"/>
      <c r="Q7761" s="27"/>
      <c r="R7761" s="27"/>
      <c r="S7761" s="27"/>
      <c r="T7761" s="27"/>
    </row>
    <row r="7762" spans="13:20" s="26" customFormat="1" ht="12.75" x14ac:dyDescent="0.2">
      <c r="M7762" s="27"/>
      <c r="N7762" s="27"/>
      <c r="O7762" s="27"/>
      <c r="P7762" s="27"/>
      <c r="Q7762" s="27"/>
      <c r="R7762" s="27"/>
      <c r="S7762" s="27"/>
      <c r="T7762" s="27"/>
    </row>
    <row r="7763" spans="13:20" s="26" customFormat="1" ht="12.75" x14ac:dyDescent="0.2">
      <c r="M7763" s="27"/>
      <c r="N7763" s="27"/>
      <c r="O7763" s="27"/>
      <c r="P7763" s="27"/>
      <c r="Q7763" s="27"/>
      <c r="R7763" s="27"/>
      <c r="S7763" s="27"/>
      <c r="T7763" s="27"/>
    </row>
    <row r="7764" spans="13:20" s="26" customFormat="1" ht="12.75" x14ac:dyDescent="0.2">
      <c r="M7764" s="27"/>
      <c r="N7764" s="27"/>
      <c r="O7764" s="27"/>
      <c r="P7764" s="27"/>
      <c r="Q7764" s="27"/>
      <c r="R7764" s="27"/>
      <c r="S7764" s="27"/>
      <c r="T7764" s="27"/>
    </row>
    <row r="7765" spans="13:20" s="26" customFormat="1" ht="12.75" x14ac:dyDescent="0.2">
      <c r="M7765" s="27"/>
      <c r="N7765" s="27"/>
      <c r="O7765" s="27"/>
      <c r="P7765" s="27"/>
      <c r="Q7765" s="27"/>
      <c r="R7765" s="27"/>
      <c r="S7765" s="27"/>
      <c r="T7765" s="27"/>
    </row>
  </sheetData>
  <dataValidations count="1">
    <dataValidation type="list" allowBlank="1" showInputMessage="1" showErrorMessage="1" sqref="C33">
      <formula1>"Normal,Utility,Acrobatic"</formula1>
    </dataValidation>
  </dataValidations>
  <hyperlinks>
    <hyperlink ref="G59" r:id="rId1"/>
    <hyperlink ref="G111" r:id="rId2"/>
    <hyperlink ref="G163" r:id="rId3"/>
    <hyperlink ref="G216" r:id="rId4"/>
    <hyperlink ref="G273" r:id="rId5"/>
    <hyperlink ref="G330" r:id="rId6"/>
  </hyperlinks>
  <pageMargins left="0.47244094488188998" right="0.23622047244094499" top="0.31496062992126" bottom="0.25" header="0.43307086614173201" footer="0.25"/>
  <pageSetup orientation="portrait" horizontalDpi="300" r:id="rId7"/>
  <headerFooter alignWithMargins="0"/>
  <rowBreaks count="5" manualBreakCount="5">
    <brk id="59" max="10" man="1"/>
    <brk id="111" max="10" man="1"/>
    <brk id="163" max="10" man="1"/>
    <brk id="216" max="10" man="1"/>
    <brk id="273" max="10" man="1"/>
  </rowBreaks>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524"/>
  <sheetViews>
    <sheetView view="pageBreakPreview" topLeftCell="A10" zoomScale="85" zoomScaleNormal="100" zoomScaleSheetLayoutView="85" workbookViewId="0">
      <selection activeCell="C5" sqref="C5"/>
    </sheetView>
  </sheetViews>
  <sheetFormatPr defaultColWidth="9.140625" defaultRowHeight="15.75" x14ac:dyDescent="0.25"/>
  <cols>
    <col min="1" max="1" width="9.140625" style="25"/>
    <col min="2" max="2" width="9.28515625" style="25" customWidth="1"/>
    <col min="3" max="3" width="9.5703125" style="25" customWidth="1"/>
    <col min="4" max="11" width="9.140625" style="25"/>
    <col min="12" max="12" width="5.42578125" style="26" customWidth="1"/>
    <col min="13" max="20" width="4.140625" style="27" customWidth="1"/>
    <col min="21" max="16384" width="9.140625" style="25"/>
  </cols>
  <sheetData>
    <row r="1" spans="1:44" s="5" customFormat="1" ht="12.75" x14ac:dyDescent="0.2">
      <c r="A1" s="1"/>
      <c r="B1" s="2" t="s">
        <v>1</v>
      </c>
      <c r="C1" s="3" t="str">
        <f>Analysis!C1</f>
        <v>R. Abbott</v>
      </c>
      <c r="D1" s="1"/>
      <c r="E1" s="1"/>
      <c r="F1" s="2" t="s">
        <v>11</v>
      </c>
      <c r="G1" s="3">
        <f>Analysis!G1</f>
        <v>17</v>
      </c>
      <c r="H1" s="1"/>
      <c r="I1" s="1"/>
      <c r="J1" s="1"/>
      <c r="K1" s="1"/>
      <c r="M1" s="6" t="s">
        <v>12</v>
      </c>
      <c r="N1" s="6" t="s">
        <v>13</v>
      </c>
      <c r="O1" s="6" t="s">
        <v>14</v>
      </c>
      <c r="P1" s="6" t="s">
        <v>14</v>
      </c>
      <c r="Q1" s="6" t="s">
        <v>14</v>
      </c>
      <c r="R1" s="6" t="s">
        <v>15</v>
      </c>
      <c r="S1" s="32" t="s">
        <v>16</v>
      </c>
      <c r="T1" s="33" t="s">
        <v>17</v>
      </c>
      <c r="W1" s="7" t="s">
        <v>18</v>
      </c>
      <c r="X1" s="8">
        <f>SUM(M:M)</f>
        <v>8</v>
      </c>
    </row>
    <row r="2" spans="1:44" s="5" customFormat="1" ht="12.75" x14ac:dyDescent="0.2">
      <c r="A2" s="1"/>
      <c r="B2" s="2" t="s">
        <v>2</v>
      </c>
      <c r="C2" s="3" t="s">
        <v>10</v>
      </c>
      <c r="D2" s="1"/>
      <c r="E2" s="1"/>
      <c r="F2" s="2" t="s">
        <v>5</v>
      </c>
      <c r="G2" s="3" t="str">
        <f>Analysis!G2</f>
        <v>AA-SM-515-000</v>
      </c>
      <c r="H2" s="1"/>
      <c r="I2" s="1"/>
      <c r="J2" s="1"/>
      <c r="K2" s="1"/>
      <c r="M2" s="9" t="s">
        <v>19</v>
      </c>
      <c r="N2" s="9" t="s">
        <v>19</v>
      </c>
      <c r="O2" s="9" t="s">
        <v>13</v>
      </c>
      <c r="P2" s="9" t="s">
        <v>13</v>
      </c>
      <c r="Q2" s="9" t="s">
        <v>13</v>
      </c>
      <c r="R2" s="9" t="s">
        <v>19</v>
      </c>
      <c r="S2" s="34" t="s">
        <v>19</v>
      </c>
      <c r="T2" s="35"/>
      <c r="W2" s="7" t="s">
        <v>20</v>
      </c>
      <c r="X2" s="8">
        <f>SUM(N:N)</f>
        <v>0</v>
      </c>
    </row>
    <row r="3" spans="1:44" s="5" customFormat="1" ht="12.75" x14ac:dyDescent="0.2">
      <c r="A3" s="1"/>
      <c r="B3" s="2" t="s">
        <v>3</v>
      </c>
      <c r="C3" s="3" t="str">
        <f>Analysis!C3</f>
        <v>05/03/2017</v>
      </c>
      <c r="D3" s="1"/>
      <c r="E3" s="1"/>
      <c r="F3" s="2" t="s">
        <v>4</v>
      </c>
      <c r="G3" s="3" t="str">
        <f>Analysis!G3</f>
        <v>IR</v>
      </c>
      <c r="H3" s="1"/>
      <c r="I3" s="1"/>
      <c r="J3" s="1"/>
      <c r="K3" s="1"/>
      <c r="M3" s="9"/>
      <c r="N3" s="9"/>
      <c r="O3" s="9"/>
      <c r="P3" s="9"/>
      <c r="Q3" s="9"/>
      <c r="R3" s="9"/>
      <c r="S3" s="34"/>
      <c r="T3" s="35"/>
      <c r="W3" s="7" t="s">
        <v>22</v>
      </c>
      <c r="X3" s="8">
        <f>SUM(O:O)</f>
        <v>0</v>
      </c>
    </row>
    <row r="4" spans="1:44" s="5" customFormat="1" ht="12.75" x14ac:dyDescent="0.2">
      <c r="A4" s="1"/>
      <c r="B4" s="2" t="s">
        <v>23</v>
      </c>
      <c r="C4" s="3"/>
      <c r="D4" s="1"/>
      <c r="E4" s="1"/>
      <c r="F4" s="2" t="s">
        <v>24</v>
      </c>
      <c r="G4" s="3" t="str">
        <f>Analysis!G4</f>
        <v>SIMPLIFIED PART 23 AIRCRAFT LOADS</v>
      </c>
      <c r="H4" s="1"/>
      <c r="I4" s="1"/>
      <c r="J4" s="1"/>
      <c r="K4" s="1"/>
      <c r="M4" s="9">
        <f>SUM(Analysis!M:M)</f>
        <v>6</v>
      </c>
      <c r="N4" s="9"/>
      <c r="O4" s="9"/>
      <c r="P4" s="9"/>
      <c r="Q4" s="11"/>
      <c r="R4" s="12"/>
      <c r="S4" s="36"/>
      <c r="T4" s="35"/>
      <c r="W4" s="7" t="s">
        <v>22</v>
      </c>
      <c r="X4" s="8">
        <f>SUM(P:P)</f>
        <v>0</v>
      </c>
    </row>
    <row r="5" spans="1:44" s="5" customFormat="1" ht="12.75" x14ac:dyDescent="0.2">
      <c r="A5" s="1"/>
      <c r="B5" s="2" t="s">
        <v>26</v>
      </c>
      <c r="C5" s="3" t="str">
        <f>Analysis!C5</f>
        <v>STANDARD SPREADSHEET METHOD</v>
      </c>
      <c r="D5" s="1"/>
      <c r="E5" s="2"/>
      <c r="F5" s="1"/>
      <c r="G5" s="1"/>
      <c r="H5" s="1"/>
      <c r="I5" s="1"/>
      <c r="J5" s="1"/>
      <c r="K5" s="1"/>
      <c r="M5" s="9"/>
      <c r="N5" s="9"/>
      <c r="O5" s="9"/>
      <c r="P5" s="9"/>
      <c r="Q5" s="11"/>
      <c r="R5" s="12"/>
      <c r="S5" s="36"/>
      <c r="T5" s="35"/>
      <c r="W5" s="7" t="s">
        <v>22</v>
      </c>
      <c r="X5" s="8">
        <f>SUM(Q:Q)</f>
        <v>0</v>
      </c>
    </row>
    <row r="6" spans="1:44"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44" s="5" customFormat="1" ht="12.75" x14ac:dyDescent="0.2">
      <c r="A7" s="1"/>
      <c r="B7" s="1"/>
      <c r="C7" s="1"/>
      <c r="D7" s="1"/>
      <c r="E7" s="1"/>
      <c r="F7" s="1"/>
      <c r="G7" s="1"/>
      <c r="H7" s="1"/>
      <c r="I7" s="1"/>
      <c r="J7" s="1"/>
      <c r="K7" s="1"/>
      <c r="M7" s="9"/>
      <c r="N7" s="9"/>
      <c r="O7" s="9"/>
      <c r="P7" s="9"/>
      <c r="Q7" s="11"/>
      <c r="R7" s="12"/>
      <c r="S7" s="36"/>
      <c r="T7" s="35"/>
      <c r="W7" s="7" t="s">
        <v>28</v>
      </c>
      <c r="X7" s="8">
        <f>SUM(S:S)</f>
        <v>0</v>
      </c>
    </row>
    <row r="8" spans="1:44" s="5" customFormat="1" ht="12.75" x14ac:dyDescent="0.2">
      <c r="A8" s="14"/>
      <c r="E8" s="7" t="s">
        <v>1</v>
      </c>
      <c r="F8" s="8" t="str">
        <f>$C$1</f>
        <v>R. Abbott</v>
      </c>
      <c r="H8" s="15"/>
      <c r="I8" s="7" t="s">
        <v>8</v>
      </c>
      <c r="J8" s="16" t="str">
        <f>$G$2</f>
        <v>AA-SM-515-000</v>
      </c>
      <c r="K8" s="17"/>
      <c r="L8" s="18"/>
      <c r="M8" s="9"/>
      <c r="N8" s="9"/>
      <c r="O8" s="9"/>
      <c r="P8" s="9"/>
      <c r="Q8" s="11"/>
      <c r="R8" s="12"/>
      <c r="S8" s="36"/>
      <c r="T8" s="35"/>
    </row>
    <row r="9" spans="1:44" s="5" customFormat="1" ht="12.75" x14ac:dyDescent="0.2">
      <c r="E9" s="7" t="s">
        <v>2</v>
      </c>
      <c r="F9" s="15" t="str">
        <f>$C$2</f>
        <v xml:space="preserve"> </v>
      </c>
      <c r="H9" s="15"/>
      <c r="I9" s="7" t="s">
        <v>9</v>
      </c>
      <c r="J9" s="17" t="str">
        <f>$G$3</f>
        <v>IR</v>
      </c>
      <c r="K9" s="17"/>
      <c r="L9" s="18"/>
      <c r="M9" s="9">
        <v>1</v>
      </c>
      <c r="N9" s="9"/>
      <c r="O9" s="9"/>
      <c r="P9" s="9"/>
      <c r="Q9" s="11"/>
      <c r="R9" s="12"/>
      <c r="S9" s="36"/>
      <c r="T9" s="35"/>
    </row>
    <row r="10" spans="1:44" s="5" customFormat="1" ht="12.75" x14ac:dyDescent="0.2">
      <c r="E10" s="7" t="s">
        <v>3</v>
      </c>
      <c r="F10" s="15" t="str">
        <f>$C$3</f>
        <v>05/03/2017</v>
      </c>
      <c r="H10" s="15"/>
      <c r="I10" s="7" t="s">
        <v>6</v>
      </c>
      <c r="J10" s="8" t="str">
        <f>L10&amp;" of "&amp;$G$1</f>
        <v>7 of 17</v>
      </c>
      <c r="K10" s="15"/>
      <c r="L10" s="18">
        <f>SUM($M$1:M9)</f>
        <v>7</v>
      </c>
      <c r="M10" s="9"/>
      <c r="N10" s="9"/>
      <c r="O10" s="9"/>
      <c r="P10" s="9"/>
      <c r="Q10" s="11"/>
      <c r="R10" s="12"/>
      <c r="S10" s="36"/>
      <c r="T10" s="35"/>
      <c r="W10" s="18"/>
      <c r="X10" s="18"/>
      <c r="Y10" s="18"/>
      <c r="Z10" s="18"/>
      <c r="AA10" s="18"/>
      <c r="AB10" s="18"/>
    </row>
    <row r="11" spans="1:44" s="5" customFormat="1" ht="12.75" x14ac:dyDescent="0.2">
      <c r="A11" s="26"/>
      <c r="B11" s="26"/>
      <c r="C11" s="26"/>
      <c r="D11" s="26"/>
      <c r="E11" s="7" t="s">
        <v>29</v>
      </c>
      <c r="F11" s="15" t="str">
        <f>$C$5</f>
        <v>STANDARD SPREADSHEET METHOD</v>
      </c>
      <c r="I11" s="19"/>
      <c r="J11" s="8"/>
      <c r="M11" s="9"/>
      <c r="N11" s="9"/>
      <c r="O11" s="9"/>
      <c r="P11" s="9"/>
      <c r="Q11" s="9"/>
      <c r="R11" s="9"/>
      <c r="S11" s="34"/>
      <c r="T11" s="35"/>
      <c r="W11" s="179" t="s">
        <v>160</v>
      </c>
      <c r="X11" s="7">
        <f>F49/30</f>
        <v>0.12000000000000001</v>
      </c>
      <c r="Y11" s="47" t="s">
        <v>136</v>
      </c>
      <c r="Z11" s="18" t="s">
        <v>151</v>
      </c>
      <c r="AA11" s="18">
        <f>(K43-A43)/F49</f>
        <v>8.3333333333333343E-2</v>
      </c>
      <c r="AB11" s="18">
        <f>(J37-A38)/F49</f>
        <v>2.7777777777777769E-2</v>
      </c>
      <c r="AE11" s="5" t="s">
        <v>172</v>
      </c>
      <c r="AH11" s="28" t="s">
        <v>167</v>
      </c>
      <c r="AI11" s="28"/>
      <c r="AJ11" s="28"/>
      <c r="AO11" s="5" t="s">
        <v>173</v>
      </c>
    </row>
    <row r="12" spans="1:44" s="28" customFormat="1" x14ac:dyDescent="0.25">
      <c r="A12" s="70"/>
      <c r="B12" s="21" t="str">
        <f>$G$4</f>
        <v>SIMPLIFIED PART 23 AIRCRAFT LOADS</v>
      </c>
      <c r="C12" s="71"/>
      <c r="D12" s="71"/>
      <c r="E12" s="72"/>
      <c r="F12" s="71"/>
      <c r="G12" s="71"/>
      <c r="H12" s="71"/>
      <c r="I12" s="71"/>
      <c r="J12" s="71"/>
      <c r="K12" s="71"/>
      <c r="L12" s="30"/>
      <c r="M12" s="37"/>
      <c r="N12" s="38"/>
      <c r="O12" s="38"/>
      <c r="P12" s="38"/>
      <c r="Q12" s="38"/>
      <c r="R12" s="37"/>
      <c r="S12" s="37"/>
      <c r="T12" s="39"/>
      <c r="W12" s="59"/>
      <c r="X12" s="135">
        <f>X11*12</f>
        <v>1.4400000000000002</v>
      </c>
      <c r="Y12" s="187" t="s">
        <v>139</v>
      </c>
      <c r="Z12" s="59" t="s">
        <v>152</v>
      </c>
      <c r="AA12" s="177">
        <f>A43</f>
        <v>1.3</v>
      </c>
      <c r="AB12" s="177">
        <f>A38</f>
        <v>0.5</v>
      </c>
      <c r="AH12" s="28" t="s">
        <v>171</v>
      </c>
      <c r="AI12" s="185">
        <f>D52/AG51</f>
        <v>1.4500000000000002</v>
      </c>
      <c r="AO12" s="176">
        <f>C32</f>
        <v>41.278892733564021</v>
      </c>
    </row>
    <row r="13" spans="1:44" s="26" customFormat="1" ht="12.75" x14ac:dyDescent="0.2">
      <c r="A13" s="73"/>
      <c r="B13" s="73" t="s">
        <v>47</v>
      </c>
      <c r="C13" s="73"/>
      <c r="D13" s="73"/>
      <c r="E13" s="73"/>
      <c r="F13" s="73"/>
      <c r="G13" s="73"/>
      <c r="H13" s="73"/>
      <c r="I13" s="73"/>
      <c r="J13" s="73"/>
      <c r="K13" s="73"/>
      <c r="L13" s="29"/>
      <c r="M13" s="27"/>
      <c r="N13" s="27"/>
      <c r="O13" s="27"/>
      <c r="P13" s="27"/>
      <c r="Q13" s="27"/>
      <c r="R13" s="27"/>
      <c r="S13" s="27"/>
      <c r="T13" s="27"/>
      <c r="W13" s="29"/>
      <c r="X13" s="29"/>
      <c r="Y13" s="29"/>
      <c r="Z13" s="29"/>
      <c r="AA13" s="29"/>
      <c r="AB13" s="29"/>
    </row>
    <row r="14" spans="1:44" s="75" customFormat="1" ht="12.75" x14ac:dyDescent="0.2">
      <c r="A14" s="73"/>
      <c r="B14" s="114" t="s">
        <v>188</v>
      </c>
      <c r="C14" s="73"/>
      <c r="D14" s="76"/>
      <c r="E14" s="73"/>
      <c r="F14" s="73"/>
      <c r="G14" s="77"/>
      <c r="H14" s="73"/>
      <c r="I14" s="73"/>
      <c r="J14" s="73"/>
      <c r="K14" s="73"/>
      <c r="M14" s="156"/>
      <c r="N14" s="156"/>
      <c r="O14" s="156"/>
      <c r="P14" s="156"/>
      <c r="Q14" s="156"/>
      <c r="R14" s="156"/>
      <c r="S14" s="156"/>
      <c r="T14" s="156"/>
      <c r="W14" s="159"/>
      <c r="X14" s="159"/>
      <c r="Y14" s="159"/>
      <c r="Z14" s="159"/>
      <c r="AA14" s="159"/>
      <c r="AB14" s="159"/>
      <c r="AC14" s="159"/>
      <c r="AD14" s="159"/>
    </row>
    <row r="15" spans="1:44" s="75" customFormat="1" ht="12.75" x14ac:dyDescent="0.2">
      <c r="A15" s="73"/>
      <c r="C15" s="73"/>
      <c r="D15" s="76"/>
      <c r="E15" s="73"/>
      <c r="F15" s="73"/>
      <c r="G15" s="73"/>
      <c r="H15" s="73"/>
      <c r="I15" s="73"/>
      <c r="J15" s="73"/>
      <c r="K15" s="73"/>
      <c r="M15" s="156"/>
      <c r="N15" s="156"/>
      <c r="O15" s="156"/>
      <c r="P15" s="156"/>
      <c r="Q15" s="156"/>
      <c r="R15" s="156"/>
      <c r="S15" s="156"/>
      <c r="T15" s="156"/>
      <c r="V15" s="88"/>
      <c r="Y15" s="159"/>
      <c r="Z15" s="83"/>
      <c r="AA15" s="83" t="s">
        <v>145</v>
      </c>
      <c r="AB15" s="83" t="s">
        <v>153</v>
      </c>
      <c r="AC15" s="83" t="s">
        <v>157</v>
      </c>
      <c r="AD15" s="83" t="s">
        <v>157</v>
      </c>
      <c r="AE15" s="159" t="s">
        <v>165</v>
      </c>
      <c r="AF15" s="159" t="s">
        <v>165</v>
      </c>
      <c r="AG15" s="83" t="s">
        <v>169</v>
      </c>
      <c r="AH15" s="159" t="s">
        <v>165</v>
      </c>
      <c r="AI15" s="159" t="s">
        <v>165</v>
      </c>
      <c r="AJ15" s="83" t="s">
        <v>169</v>
      </c>
      <c r="AK15" s="159" t="s">
        <v>168</v>
      </c>
      <c r="AL15" s="159" t="s">
        <v>168</v>
      </c>
      <c r="AM15" s="83" t="s">
        <v>169</v>
      </c>
      <c r="AN15" s="159" t="s">
        <v>170</v>
      </c>
      <c r="AO15" s="83" t="s">
        <v>169</v>
      </c>
      <c r="AP15" s="83" t="s">
        <v>169</v>
      </c>
      <c r="AQ15" s="83" t="s">
        <v>169</v>
      </c>
      <c r="AR15" s="83" t="s">
        <v>169</v>
      </c>
    </row>
    <row r="16" spans="1:44" s="77" customFormat="1" ht="13.5" customHeight="1" x14ac:dyDescent="0.2">
      <c r="B16" s="75" t="s">
        <v>187</v>
      </c>
      <c r="L16" s="157"/>
      <c r="M16" s="156"/>
      <c r="N16" s="156"/>
      <c r="O16" s="156"/>
      <c r="P16" s="156"/>
      <c r="Q16" s="156"/>
      <c r="R16" s="156"/>
      <c r="S16" s="156"/>
      <c r="T16" s="156"/>
      <c r="U16" s="157"/>
      <c r="V16" s="88"/>
      <c r="W16" s="18"/>
      <c r="Y16" s="18"/>
      <c r="Z16" s="83" t="s">
        <v>148</v>
      </c>
      <c r="AA16" s="83" t="s">
        <v>150</v>
      </c>
      <c r="AB16" s="83" t="s">
        <v>155</v>
      </c>
      <c r="AC16" s="83" t="s">
        <v>158</v>
      </c>
      <c r="AD16" s="83" t="s">
        <v>161</v>
      </c>
      <c r="AE16" s="83" t="s">
        <v>158</v>
      </c>
      <c r="AF16" s="83" t="s">
        <v>161</v>
      </c>
      <c r="AG16" s="159" t="s">
        <v>165</v>
      </c>
      <c r="AH16" s="83" t="s">
        <v>158</v>
      </c>
      <c r="AI16" s="83" t="s">
        <v>161</v>
      </c>
      <c r="AJ16" s="159" t="s">
        <v>165</v>
      </c>
      <c r="AK16" s="83" t="s">
        <v>158</v>
      </c>
      <c r="AL16" s="83" t="s">
        <v>161</v>
      </c>
      <c r="AM16" s="83" t="s">
        <v>168</v>
      </c>
      <c r="AN16" s="171" t="s">
        <v>168</v>
      </c>
      <c r="AO16" s="159" t="s">
        <v>165</v>
      </c>
      <c r="AP16" s="83" t="s">
        <v>168</v>
      </c>
      <c r="AQ16" s="159" t="s">
        <v>165</v>
      </c>
      <c r="AR16" s="83" t="s">
        <v>168</v>
      </c>
    </row>
    <row r="17" spans="1:44" s="77" customFormat="1" ht="14.25" x14ac:dyDescent="0.25">
      <c r="B17" s="80" t="s">
        <v>123</v>
      </c>
      <c r="C17" s="96">
        <f>Analysis!C44</f>
        <v>104.16455158597188</v>
      </c>
      <c r="D17" s="110" t="s">
        <v>72</v>
      </c>
      <c r="E17" s="96"/>
      <c r="F17" s="111" t="s">
        <v>125</v>
      </c>
      <c r="G17" s="96">
        <f>Analysis!C47</f>
        <v>118.05315846410147</v>
      </c>
      <c r="H17" s="110" t="s">
        <v>72</v>
      </c>
      <c r="L17" s="157"/>
      <c r="M17" s="156"/>
      <c r="N17" s="156"/>
      <c r="O17" s="156"/>
      <c r="P17" s="156"/>
      <c r="Q17" s="156"/>
      <c r="R17" s="156"/>
      <c r="S17" s="156"/>
      <c r="T17" s="156"/>
      <c r="U17" s="157"/>
      <c r="V17" s="88"/>
      <c r="W17" s="59"/>
      <c r="X17" s="59" t="s">
        <v>145</v>
      </c>
      <c r="Y17" s="59" t="s">
        <v>145</v>
      </c>
      <c r="Z17" s="83" t="s">
        <v>145</v>
      </c>
      <c r="AA17" s="171" t="s">
        <v>154</v>
      </c>
      <c r="AB17" s="171" t="s">
        <v>154</v>
      </c>
      <c r="AC17" s="171" t="s">
        <v>153</v>
      </c>
      <c r="AD17" s="171" t="s">
        <v>153</v>
      </c>
      <c r="AE17" s="83" t="s">
        <v>153</v>
      </c>
      <c r="AF17" s="83" t="s">
        <v>153</v>
      </c>
      <c r="AG17" s="171"/>
      <c r="AH17" s="83" t="s">
        <v>153</v>
      </c>
      <c r="AI17" s="83" t="s">
        <v>153</v>
      </c>
      <c r="AJ17" s="171"/>
      <c r="AK17" s="83" t="s">
        <v>153</v>
      </c>
      <c r="AL17" s="83" t="s">
        <v>153</v>
      </c>
      <c r="AM17" s="83"/>
      <c r="AN17" s="171"/>
      <c r="AQ17" s="171" t="s">
        <v>174</v>
      </c>
      <c r="AR17" s="171" t="s">
        <v>174</v>
      </c>
    </row>
    <row r="18" spans="1:44" s="77" customFormat="1" ht="14.25" x14ac:dyDescent="0.25">
      <c r="B18" s="80" t="s">
        <v>124</v>
      </c>
      <c r="C18" s="192">
        <f>Analysis!F43</f>
        <v>120</v>
      </c>
      <c r="D18" s="110" t="s">
        <v>72</v>
      </c>
      <c r="E18" s="96"/>
      <c r="F18" s="111" t="s">
        <v>126</v>
      </c>
      <c r="G18" s="192">
        <f>Analysis!F46</f>
        <v>160</v>
      </c>
      <c r="H18" s="110" t="s">
        <v>72</v>
      </c>
      <c r="L18" s="157"/>
      <c r="M18" s="156"/>
      <c r="N18" s="156"/>
      <c r="O18" s="156"/>
      <c r="P18" s="156"/>
      <c r="Q18" s="156"/>
      <c r="R18" s="156"/>
      <c r="S18" s="156"/>
      <c r="T18" s="156"/>
      <c r="U18" s="157"/>
      <c r="V18" s="88"/>
      <c r="W18" s="29" t="s">
        <v>145</v>
      </c>
      <c r="X18" s="29" t="s">
        <v>146</v>
      </c>
      <c r="Y18" s="29" t="s">
        <v>147</v>
      </c>
      <c r="Z18" s="83" t="s">
        <v>149</v>
      </c>
      <c r="AA18" s="159" t="s">
        <v>149</v>
      </c>
      <c r="AB18" s="159" t="s">
        <v>149</v>
      </c>
      <c r="AC18" s="83" t="s">
        <v>159</v>
      </c>
      <c r="AD18" s="83" t="s">
        <v>159</v>
      </c>
      <c r="AE18" s="83" t="s">
        <v>159</v>
      </c>
      <c r="AF18" s="83" t="s">
        <v>159</v>
      </c>
      <c r="AG18" s="171"/>
      <c r="AH18" s="83" t="s">
        <v>159</v>
      </c>
      <c r="AI18" s="83" t="s">
        <v>159</v>
      </c>
      <c r="AJ18" s="171"/>
      <c r="AK18" s="83" t="s">
        <v>159</v>
      </c>
      <c r="AL18" s="83" t="s">
        <v>159</v>
      </c>
      <c r="AM18" s="83"/>
      <c r="AN18" s="171"/>
      <c r="AQ18" s="171" t="s">
        <v>175</v>
      </c>
      <c r="AR18" s="171" t="s">
        <v>175</v>
      </c>
    </row>
    <row r="19" spans="1:44" s="77" customFormat="1" ht="12.75" x14ac:dyDescent="0.2">
      <c r="A19" s="73"/>
      <c r="B19" s="73"/>
      <c r="C19" s="73"/>
      <c r="D19" s="76"/>
      <c r="E19" s="73"/>
      <c r="F19" s="73"/>
      <c r="G19" s="73"/>
      <c r="H19" s="73"/>
      <c r="I19" s="73"/>
      <c r="J19" s="73"/>
      <c r="K19" s="73"/>
      <c r="L19" s="157"/>
      <c r="M19" s="156"/>
      <c r="N19" s="156"/>
      <c r="O19" s="156"/>
      <c r="P19" s="156"/>
      <c r="Q19" s="156"/>
      <c r="R19" s="156"/>
      <c r="S19" s="156"/>
      <c r="T19" s="156"/>
      <c r="U19" s="157"/>
      <c r="V19" s="88"/>
      <c r="X19" s="171" t="s">
        <v>156</v>
      </c>
      <c r="Y19" s="171" t="s">
        <v>156</v>
      </c>
      <c r="Z19" s="171" t="s">
        <v>156</v>
      </c>
      <c r="AA19" s="171" t="s">
        <v>156</v>
      </c>
      <c r="AB19" s="171" t="s">
        <v>156</v>
      </c>
      <c r="AC19" s="171" t="s">
        <v>162</v>
      </c>
      <c r="AD19" s="171" t="s">
        <v>162</v>
      </c>
      <c r="AE19" s="83" t="s">
        <v>166</v>
      </c>
      <c r="AF19" s="83" t="s">
        <v>166</v>
      </c>
      <c r="AG19" s="83" t="s">
        <v>166</v>
      </c>
      <c r="AH19" s="83" t="s">
        <v>166</v>
      </c>
      <c r="AI19" s="83" t="s">
        <v>166</v>
      </c>
      <c r="AJ19" s="83" t="s">
        <v>166</v>
      </c>
      <c r="AK19" s="83" t="s">
        <v>177</v>
      </c>
      <c r="AL19" s="83" t="s">
        <v>177</v>
      </c>
      <c r="AM19" s="83" t="s">
        <v>177</v>
      </c>
      <c r="AN19" s="83" t="s">
        <v>177</v>
      </c>
      <c r="AO19" s="83" t="s">
        <v>166</v>
      </c>
      <c r="AP19" s="83" t="s">
        <v>177</v>
      </c>
      <c r="AQ19" s="83" t="s">
        <v>176</v>
      </c>
      <c r="AR19" s="83" t="s">
        <v>178</v>
      </c>
    </row>
    <row r="20" spans="1:44" s="77" customFormat="1" ht="12.75" x14ac:dyDescent="0.2">
      <c r="B20" s="77" t="s">
        <v>127</v>
      </c>
      <c r="L20" s="157"/>
      <c r="M20" s="156"/>
      <c r="N20" s="156"/>
      <c r="O20" s="156"/>
      <c r="P20" s="156"/>
      <c r="Q20" s="156"/>
      <c r="R20" s="156"/>
      <c r="S20" s="156"/>
      <c r="T20" s="156"/>
      <c r="U20" s="157"/>
      <c r="V20" s="88"/>
      <c r="W20" s="159">
        <v>1</v>
      </c>
      <c r="X20" s="178">
        <f>0</f>
        <v>0</v>
      </c>
      <c r="Y20" s="178">
        <f>X11</f>
        <v>0.12000000000000001</v>
      </c>
      <c r="Z20" s="84">
        <f>(X20+Y20)/2</f>
        <v>6.0000000000000005E-2</v>
      </c>
      <c r="AA20" s="178">
        <f>$AA$11*Z20+$AA$12</f>
        <v>1.3049999999999999</v>
      </c>
      <c r="AB20" s="178">
        <f>$AB$11*Z20+$AB$12</f>
        <v>0.50166666666666671</v>
      </c>
      <c r="AC20" s="178">
        <f>AB20*$X$11</f>
        <v>6.020000000000001E-2</v>
      </c>
      <c r="AD20" s="181">
        <f>(AA20-AB20)*$X$11</f>
        <v>9.64E-2</v>
      </c>
      <c r="AE20" s="182">
        <f>AC20</f>
        <v>6.020000000000001E-2</v>
      </c>
      <c r="AF20" s="162">
        <f>AD20/2</f>
        <v>4.82E-2</v>
      </c>
      <c r="AG20" s="181">
        <f>AE20+AF20</f>
        <v>0.10840000000000001</v>
      </c>
      <c r="AH20" s="180">
        <f>AE20*$AI$12</f>
        <v>8.729000000000002E-2</v>
      </c>
      <c r="AI20" s="180">
        <f>AF20*$AI$12</f>
        <v>6.9890000000000008E-2</v>
      </c>
      <c r="AJ20" s="180">
        <f>AG20*$AI$12</f>
        <v>0.15718000000000004</v>
      </c>
      <c r="AK20" s="183">
        <f>AH20*AB20/2</f>
        <v>2.1895241666666673E-2</v>
      </c>
      <c r="AL20" s="183">
        <f>-(AA20-AB20)/3*AI20</f>
        <v>-1.8714988888888888E-2</v>
      </c>
      <c r="AM20" s="186">
        <f>AK20+AL20</f>
        <v>3.1802527777777846E-3</v>
      </c>
      <c r="AN20" s="180">
        <f>SUM($AM$19:AM20)</f>
        <v>3.1802527777777846E-3</v>
      </c>
      <c r="AO20" s="181">
        <f>AJ20*$AO$12</f>
        <v>6.4882163598615943</v>
      </c>
      <c r="AP20" s="181">
        <f>AM20*$AO$12</f>
        <v>0.13127731327950817</v>
      </c>
      <c r="AQ20" s="188">
        <f>AO20/$X$11</f>
        <v>54.068469665513284</v>
      </c>
      <c r="AR20" s="188">
        <f>AP20/$X$11</f>
        <v>1.093977610662568</v>
      </c>
    </row>
    <row r="21" spans="1:44" s="77" customFormat="1" ht="12.75" x14ac:dyDescent="0.2">
      <c r="B21" s="80" t="s">
        <v>82</v>
      </c>
      <c r="C21" s="77" t="str">
        <f>[1]!xln(C22)</f>
        <v>(120 / 104)²</v>
      </c>
      <c r="F21" s="80" t="s">
        <v>82</v>
      </c>
      <c r="G21" s="77" t="str">
        <f>[1]!xln(G22)</f>
        <v>(160 / 118)²</v>
      </c>
      <c r="L21" s="157"/>
      <c r="M21" s="156"/>
      <c r="N21" s="156"/>
      <c r="O21" s="156"/>
      <c r="P21" s="156"/>
      <c r="Q21" s="156"/>
      <c r="R21" s="156"/>
      <c r="S21" s="156"/>
      <c r="T21" s="156"/>
      <c r="U21" s="157"/>
      <c r="V21" s="88"/>
      <c r="W21" s="88">
        <v>2</v>
      </c>
      <c r="X21" s="178">
        <f>Y20</f>
        <v>0.12000000000000001</v>
      </c>
      <c r="Y21" s="84">
        <f t="shared" ref="Y21:Y39" si="0">X21+$X$11</f>
        <v>0.24000000000000002</v>
      </c>
      <c r="Z21" s="84">
        <f t="shared" ref="Z21:Z39" si="1">(X21+Y21)/2</f>
        <v>0.18000000000000002</v>
      </c>
      <c r="AA21" s="178">
        <f t="shared" ref="AA21:AA49" si="2">$AA$11*Z21+$AA$12</f>
        <v>1.3149999999999999</v>
      </c>
      <c r="AB21" s="178">
        <f t="shared" ref="AB21:AB39" si="3">$AB$11*Z21+$AB$12</f>
        <v>0.505</v>
      </c>
      <c r="AC21" s="178">
        <f t="shared" ref="AC21:AC49" si="4">AB21*$X$11</f>
        <v>6.0600000000000008E-2</v>
      </c>
      <c r="AD21" s="181">
        <f t="shared" ref="AD21:AD39" si="5">(AA21-AB21)*$X$11</f>
        <v>9.7199999999999995E-2</v>
      </c>
      <c r="AE21" s="182">
        <f t="shared" ref="AE21:AE49" si="6">AC21</f>
        <v>6.0600000000000008E-2</v>
      </c>
      <c r="AF21" s="162">
        <f t="shared" ref="AF21:AF49" si="7">AD21/2</f>
        <v>4.8599999999999997E-2</v>
      </c>
      <c r="AG21" s="181">
        <f t="shared" ref="AG21:AG49" si="8">AE21+AF21</f>
        <v>0.10920000000000001</v>
      </c>
      <c r="AH21" s="180">
        <f t="shared" ref="AH21:AJ49" si="9">AE21*$AI$12</f>
        <v>8.7870000000000018E-2</v>
      </c>
      <c r="AI21" s="180">
        <f t="shared" si="9"/>
        <v>7.0470000000000005E-2</v>
      </c>
      <c r="AJ21" s="180">
        <f t="shared" si="9"/>
        <v>0.15834000000000004</v>
      </c>
      <c r="AK21" s="183">
        <f>AH21*AB21/2</f>
        <v>2.2187175000000003E-2</v>
      </c>
      <c r="AL21" s="183">
        <f>-(AA21-AB21)/3*AI21</f>
        <v>-1.9026899999999999E-2</v>
      </c>
      <c r="AM21" s="186">
        <f t="shared" ref="AM21:AM49" si="10">AK21+AL21</f>
        <v>3.1602750000000041E-3</v>
      </c>
      <c r="AN21" s="180">
        <f>SUM($AM$19:AM21)</f>
        <v>6.3405277777777887E-3</v>
      </c>
      <c r="AO21" s="181">
        <f t="shared" ref="AO21:AO49" si="11">AJ21*$AO$12</f>
        <v>6.5360998754325283</v>
      </c>
      <c r="AP21" s="181">
        <f t="shared" ref="AP21:AP49" si="12">AM21*$AO$12</f>
        <v>0.13045265273356421</v>
      </c>
      <c r="AQ21" s="188">
        <f t="shared" ref="AQ21:AQ49" si="13">AO21/$X$11</f>
        <v>54.467498961937729</v>
      </c>
      <c r="AR21" s="188">
        <f t="shared" ref="AR21:AR49" si="14">AP21/$X$11</f>
        <v>1.0871054394463684</v>
      </c>
    </row>
    <row r="22" spans="1:44" s="77" customFormat="1" ht="12.75" x14ac:dyDescent="0.2">
      <c r="B22" s="80" t="s">
        <v>82</v>
      </c>
      <c r="C22" s="115">
        <f>(C18/C17)^2</f>
        <v>1.3271578947368421</v>
      </c>
      <c r="D22" s="170"/>
      <c r="E22" s="170"/>
      <c r="F22" s="136" t="s">
        <v>82</v>
      </c>
      <c r="G22" s="115">
        <f>(G18/G17)^2</f>
        <v>1.8368967401201968</v>
      </c>
      <c r="L22" s="157"/>
      <c r="M22" s="156"/>
      <c r="N22" s="156"/>
      <c r="O22" s="156"/>
      <c r="P22" s="156"/>
      <c r="Q22" s="156"/>
      <c r="R22" s="156"/>
      <c r="S22" s="156"/>
      <c r="T22" s="156"/>
      <c r="U22" s="157"/>
      <c r="V22" s="88"/>
      <c r="W22" s="88">
        <v>3</v>
      </c>
      <c r="X22" s="178">
        <f t="shared" ref="X22:X49" si="15">Y21</f>
        <v>0.24000000000000002</v>
      </c>
      <c r="Y22" s="84">
        <f t="shared" si="0"/>
        <v>0.36000000000000004</v>
      </c>
      <c r="Z22" s="84">
        <f t="shared" si="1"/>
        <v>0.30000000000000004</v>
      </c>
      <c r="AA22" s="178">
        <f t="shared" si="2"/>
        <v>1.325</v>
      </c>
      <c r="AB22" s="178">
        <f t="shared" si="3"/>
        <v>0.5083333333333333</v>
      </c>
      <c r="AC22" s="178">
        <f t="shared" si="4"/>
        <v>6.0999999999999999E-2</v>
      </c>
      <c r="AD22" s="181">
        <f t="shared" si="5"/>
        <v>9.8000000000000004E-2</v>
      </c>
      <c r="AE22" s="182">
        <f t="shared" si="6"/>
        <v>6.0999999999999999E-2</v>
      </c>
      <c r="AF22" s="162">
        <f t="shared" si="7"/>
        <v>4.9000000000000002E-2</v>
      </c>
      <c r="AG22" s="181">
        <f t="shared" si="8"/>
        <v>0.11</v>
      </c>
      <c r="AH22" s="180">
        <f t="shared" si="9"/>
        <v>8.8450000000000015E-2</v>
      </c>
      <c r="AI22" s="180">
        <f t="shared" si="9"/>
        <v>7.1050000000000016E-2</v>
      </c>
      <c r="AJ22" s="180">
        <f t="shared" si="9"/>
        <v>0.15950000000000003</v>
      </c>
      <c r="AK22" s="183">
        <f t="shared" ref="AK22:AK49" si="16">AH22*AB22/2</f>
        <v>2.248104166666667E-2</v>
      </c>
      <c r="AL22" s="183">
        <f t="shared" ref="AL22:AL49" si="17">-(AA22-AB22)/3*AI22</f>
        <v>-1.9341388888888891E-2</v>
      </c>
      <c r="AM22" s="186">
        <f t="shared" si="10"/>
        <v>3.1396527777777794E-3</v>
      </c>
      <c r="AN22" s="180">
        <f>SUM($AM$19:AM22)</f>
        <v>9.4801805555555681E-3</v>
      </c>
      <c r="AO22" s="181">
        <f t="shared" si="11"/>
        <v>6.5839833910034624</v>
      </c>
      <c r="AP22" s="181">
        <f t="shared" si="12"/>
        <v>0.12960139023452527</v>
      </c>
      <c r="AQ22" s="188">
        <f t="shared" si="13"/>
        <v>54.86652825836218</v>
      </c>
      <c r="AR22" s="188">
        <f t="shared" si="14"/>
        <v>1.0800115852877106</v>
      </c>
    </row>
    <row r="23" spans="1:44" s="77" customFormat="1" ht="12.75" x14ac:dyDescent="0.2">
      <c r="B23" s="76"/>
      <c r="C23" s="76"/>
      <c r="D23" s="101"/>
      <c r="F23" s="80"/>
      <c r="L23" s="157"/>
      <c r="M23" s="156"/>
      <c r="N23" s="156"/>
      <c r="O23" s="156"/>
      <c r="P23" s="156"/>
      <c r="Q23" s="156"/>
      <c r="R23" s="156"/>
      <c r="S23" s="156"/>
      <c r="T23" s="156"/>
      <c r="U23" s="157"/>
      <c r="V23" s="88"/>
      <c r="W23" s="88">
        <v>4</v>
      </c>
      <c r="X23" s="178">
        <f t="shared" si="15"/>
        <v>0.36000000000000004</v>
      </c>
      <c r="Y23" s="84">
        <f t="shared" si="0"/>
        <v>0.48000000000000004</v>
      </c>
      <c r="Z23" s="84">
        <f t="shared" si="1"/>
        <v>0.42000000000000004</v>
      </c>
      <c r="AA23" s="178">
        <f t="shared" si="2"/>
        <v>1.335</v>
      </c>
      <c r="AB23" s="178">
        <f t="shared" si="3"/>
        <v>0.51166666666666671</v>
      </c>
      <c r="AC23" s="178">
        <f t="shared" si="4"/>
        <v>6.140000000000001E-2</v>
      </c>
      <c r="AD23" s="181">
        <f t="shared" si="5"/>
        <v>9.8799999999999999E-2</v>
      </c>
      <c r="AE23" s="182">
        <f t="shared" si="6"/>
        <v>6.140000000000001E-2</v>
      </c>
      <c r="AF23" s="162">
        <f t="shared" si="7"/>
        <v>4.9399999999999999E-2</v>
      </c>
      <c r="AG23" s="181">
        <f t="shared" si="8"/>
        <v>0.11080000000000001</v>
      </c>
      <c r="AH23" s="180">
        <f t="shared" si="9"/>
        <v>8.9030000000000026E-2</v>
      </c>
      <c r="AI23" s="180">
        <f t="shared" si="9"/>
        <v>7.1630000000000013E-2</v>
      </c>
      <c r="AJ23" s="180">
        <f t="shared" si="9"/>
        <v>0.16066000000000003</v>
      </c>
      <c r="AK23" s="183">
        <f t="shared" si="16"/>
        <v>2.2776841666666676E-2</v>
      </c>
      <c r="AL23" s="183">
        <f t="shared" si="17"/>
        <v>-1.9658455555555558E-2</v>
      </c>
      <c r="AM23" s="186">
        <f t="shared" si="10"/>
        <v>3.1183861111111176E-3</v>
      </c>
      <c r="AN23" s="180">
        <f>SUM($AM$19:AM23)</f>
        <v>1.2598566666666686E-2</v>
      </c>
      <c r="AO23" s="181">
        <f t="shared" si="11"/>
        <v>6.6318669065743965</v>
      </c>
      <c r="AP23" s="181">
        <f t="shared" si="12"/>
        <v>0.12872352578239168</v>
      </c>
      <c r="AQ23" s="188">
        <f t="shared" si="13"/>
        <v>55.265557554786632</v>
      </c>
      <c r="AR23" s="188">
        <f t="shared" si="14"/>
        <v>1.0726960481865973</v>
      </c>
    </row>
    <row r="24" spans="1:44" s="77" customFormat="1" ht="12.75" x14ac:dyDescent="0.2">
      <c r="A24" s="73"/>
      <c r="B24" s="77" t="s">
        <v>129</v>
      </c>
      <c r="G24" s="73"/>
      <c r="K24" s="73"/>
      <c r="L24" s="157"/>
      <c r="M24" s="156"/>
      <c r="N24" s="156"/>
      <c r="O24" s="156"/>
      <c r="P24" s="156"/>
      <c r="Q24" s="156"/>
      <c r="R24" s="156"/>
      <c r="S24" s="156"/>
      <c r="T24" s="156"/>
      <c r="U24" s="157"/>
      <c r="V24" s="88"/>
      <c r="W24" s="88">
        <v>5</v>
      </c>
      <c r="X24" s="178">
        <f t="shared" si="15"/>
        <v>0.48000000000000004</v>
      </c>
      <c r="Y24" s="84">
        <f t="shared" si="0"/>
        <v>0.60000000000000009</v>
      </c>
      <c r="Z24" s="84">
        <f t="shared" si="1"/>
        <v>0.54</v>
      </c>
      <c r="AA24" s="178">
        <f t="shared" si="2"/>
        <v>1.345</v>
      </c>
      <c r="AB24" s="178">
        <f t="shared" si="3"/>
        <v>0.51500000000000001</v>
      </c>
      <c r="AC24" s="178">
        <f t="shared" si="4"/>
        <v>6.1800000000000008E-2</v>
      </c>
      <c r="AD24" s="181">
        <f t="shared" si="5"/>
        <v>9.9600000000000008E-2</v>
      </c>
      <c r="AE24" s="182">
        <f t="shared" si="6"/>
        <v>6.1800000000000008E-2</v>
      </c>
      <c r="AF24" s="162">
        <f t="shared" si="7"/>
        <v>4.9800000000000004E-2</v>
      </c>
      <c r="AG24" s="181">
        <f t="shared" si="8"/>
        <v>0.1116</v>
      </c>
      <c r="AH24" s="180">
        <f t="shared" si="9"/>
        <v>8.9610000000000023E-2</v>
      </c>
      <c r="AI24" s="180">
        <f t="shared" si="9"/>
        <v>7.221000000000001E-2</v>
      </c>
      <c r="AJ24" s="180">
        <f t="shared" si="9"/>
        <v>0.16182000000000002</v>
      </c>
      <c r="AK24" s="183">
        <f t="shared" si="16"/>
        <v>2.3074575000000007E-2</v>
      </c>
      <c r="AL24" s="183">
        <f t="shared" si="17"/>
        <v>-1.9978100000000002E-2</v>
      </c>
      <c r="AM24" s="186">
        <f t="shared" si="10"/>
        <v>3.0964750000000048E-3</v>
      </c>
      <c r="AN24" s="180">
        <f>SUM($AM$19:AM24)</f>
        <v>1.569504166666669E-2</v>
      </c>
      <c r="AO24" s="181">
        <f t="shared" si="11"/>
        <v>6.6797504221453305</v>
      </c>
      <c r="AP24" s="181">
        <f t="shared" si="12"/>
        <v>0.12781905937716284</v>
      </c>
      <c r="AQ24" s="188">
        <f t="shared" si="13"/>
        <v>55.664586851211084</v>
      </c>
      <c r="AR24" s="188">
        <f t="shared" si="14"/>
        <v>1.0651588281430235</v>
      </c>
    </row>
    <row r="25" spans="1:44" s="77" customFormat="1" ht="12.75" x14ac:dyDescent="0.2">
      <c r="A25" s="73"/>
      <c r="B25" s="80" t="s">
        <v>82</v>
      </c>
      <c r="C25" s="115">
        <f>MAX(C22,G22)</f>
        <v>1.8368967401201968</v>
      </c>
      <c r="G25" s="73"/>
      <c r="K25" s="73"/>
      <c r="L25" s="157"/>
      <c r="M25" s="156"/>
      <c r="N25" s="156"/>
      <c r="O25" s="156"/>
      <c r="P25" s="156"/>
      <c r="Q25" s="156"/>
      <c r="R25" s="156"/>
      <c r="S25" s="156"/>
      <c r="T25" s="156"/>
      <c r="U25" s="157"/>
      <c r="V25" s="88"/>
      <c r="W25" s="88">
        <v>6</v>
      </c>
      <c r="X25" s="178">
        <f t="shared" si="15"/>
        <v>0.60000000000000009</v>
      </c>
      <c r="Y25" s="84">
        <f t="shared" si="0"/>
        <v>0.72000000000000008</v>
      </c>
      <c r="Z25" s="84">
        <f t="shared" si="1"/>
        <v>0.66000000000000014</v>
      </c>
      <c r="AA25" s="178">
        <f t="shared" si="2"/>
        <v>1.355</v>
      </c>
      <c r="AB25" s="178">
        <f t="shared" si="3"/>
        <v>0.51833333333333331</v>
      </c>
      <c r="AC25" s="178">
        <f t="shared" si="4"/>
        <v>6.2200000000000005E-2</v>
      </c>
      <c r="AD25" s="181">
        <f t="shared" si="5"/>
        <v>0.1004</v>
      </c>
      <c r="AE25" s="182">
        <f t="shared" si="6"/>
        <v>6.2200000000000005E-2</v>
      </c>
      <c r="AF25" s="162">
        <f t="shared" si="7"/>
        <v>5.0200000000000002E-2</v>
      </c>
      <c r="AG25" s="181">
        <f t="shared" si="8"/>
        <v>0.1124</v>
      </c>
      <c r="AH25" s="180">
        <f t="shared" si="9"/>
        <v>9.019000000000002E-2</v>
      </c>
      <c r="AI25" s="180">
        <f t="shared" si="9"/>
        <v>7.2790000000000007E-2</v>
      </c>
      <c r="AJ25" s="180">
        <f t="shared" si="9"/>
        <v>0.16298000000000001</v>
      </c>
      <c r="AK25" s="183">
        <f t="shared" si="16"/>
        <v>2.337424166666667E-2</v>
      </c>
      <c r="AL25" s="183">
        <f t="shared" si="17"/>
        <v>-2.0300322222222226E-2</v>
      </c>
      <c r="AM25" s="186">
        <f t="shared" si="10"/>
        <v>3.0739194444444444E-3</v>
      </c>
      <c r="AN25" s="180">
        <f>SUM($AM$19:AM25)</f>
        <v>1.8768961111111135E-2</v>
      </c>
      <c r="AO25" s="181">
        <f t="shared" si="11"/>
        <v>6.7276339377162646</v>
      </c>
      <c r="AP25" s="181">
        <f t="shared" si="12"/>
        <v>0.12688799101883894</v>
      </c>
      <c r="AQ25" s="188">
        <f t="shared" si="13"/>
        <v>56.063616147635535</v>
      </c>
      <c r="AR25" s="188">
        <f t="shared" si="14"/>
        <v>1.057399925156991</v>
      </c>
    </row>
    <row r="26" spans="1:44" s="77" customFormat="1" ht="12.75" x14ac:dyDescent="0.2">
      <c r="A26" s="79"/>
      <c r="I26" s="73"/>
      <c r="J26" s="73"/>
      <c r="K26" s="73"/>
      <c r="L26" s="157"/>
      <c r="M26" s="156"/>
      <c r="N26" s="156"/>
      <c r="O26" s="156"/>
      <c r="P26" s="156"/>
      <c r="Q26" s="156"/>
      <c r="R26" s="156"/>
      <c r="S26" s="156"/>
      <c r="T26" s="156"/>
      <c r="U26" s="157"/>
      <c r="V26" s="88"/>
      <c r="W26" s="88">
        <v>7</v>
      </c>
      <c r="X26" s="178">
        <f t="shared" si="15"/>
        <v>0.72000000000000008</v>
      </c>
      <c r="Y26" s="84">
        <f t="shared" si="0"/>
        <v>0.84000000000000008</v>
      </c>
      <c r="Z26" s="84">
        <f t="shared" si="1"/>
        <v>0.78</v>
      </c>
      <c r="AA26" s="178">
        <f t="shared" si="2"/>
        <v>1.365</v>
      </c>
      <c r="AB26" s="178">
        <f t="shared" si="3"/>
        <v>0.52166666666666661</v>
      </c>
      <c r="AC26" s="178">
        <f t="shared" si="4"/>
        <v>6.2600000000000003E-2</v>
      </c>
      <c r="AD26" s="181">
        <f t="shared" si="5"/>
        <v>0.10120000000000001</v>
      </c>
      <c r="AE26" s="182">
        <f t="shared" si="6"/>
        <v>6.2600000000000003E-2</v>
      </c>
      <c r="AF26" s="162">
        <f t="shared" si="7"/>
        <v>5.0600000000000006E-2</v>
      </c>
      <c r="AG26" s="181">
        <f t="shared" si="8"/>
        <v>0.11320000000000001</v>
      </c>
      <c r="AH26" s="180">
        <f t="shared" si="9"/>
        <v>9.0770000000000017E-2</v>
      </c>
      <c r="AI26" s="180">
        <f t="shared" si="9"/>
        <v>7.3370000000000019E-2</v>
      </c>
      <c r="AJ26" s="180">
        <f t="shared" si="9"/>
        <v>0.16414000000000004</v>
      </c>
      <c r="AK26" s="183">
        <f t="shared" si="16"/>
        <v>2.3675841666666669E-2</v>
      </c>
      <c r="AL26" s="183">
        <f t="shared" si="17"/>
        <v>-2.0625122222222229E-2</v>
      </c>
      <c r="AM26" s="186">
        <f t="shared" si="10"/>
        <v>3.0507194444444399E-3</v>
      </c>
      <c r="AN26" s="180">
        <f>SUM($AM$19:AM26)</f>
        <v>2.1819680555555575E-2</v>
      </c>
      <c r="AO26" s="181">
        <f t="shared" si="11"/>
        <v>6.7755174532871996</v>
      </c>
      <c r="AP26" s="181">
        <f t="shared" si="12"/>
        <v>0.12593032070742005</v>
      </c>
      <c r="AQ26" s="188">
        <f t="shared" si="13"/>
        <v>56.462645444059994</v>
      </c>
      <c r="AR26" s="188">
        <f t="shared" si="14"/>
        <v>1.0494193392285003</v>
      </c>
    </row>
    <row r="27" spans="1:44" s="77" customFormat="1" ht="12.75" x14ac:dyDescent="0.2">
      <c r="B27" s="77" t="s">
        <v>128</v>
      </c>
      <c r="L27" s="157"/>
      <c r="M27" s="156"/>
      <c r="N27" s="156"/>
      <c r="O27" s="156"/>
      <c r="P27" s="156"/>
      <c r="Q27" s="156"/>
      <c r="R27" s="156"/>
      <c r="S27" s="156"/>
      <c r="T27" s="156"/>
      <c r="U27" s="157"/>
      <c r="V27" s="88"/>
      <c r="W27" s="88">
        <v>8</v>
      </c>
      <c r="X27" s="178">
        <f t="shared" si="15"/>
        <v>0.84000000000000008</v>
      </c>
      <c r="Y27" s="84">
        <f t="shared" si="0"/>
        <v>0.96000000000000008</v>
      </c>
      <c r="Z27" s="84">
        <f t="shared" si="1"/>
        <v>0.90000000000000013</v>
      </c>
      <c r="AA27" s="178">
        <f t="shared" si="2"/>
        <v>1.375</v>
      </c>
      <c r="AB27" s="178">
        <f t="shared" si="3"/>
        <v>0.52500000000000002</v>
      </c>
      <c r="AC27" s="178">
        <f t="shared" si="4"/>
        <v>6.3000000000000014E-2</v>
      </c>
      <c r="AD27" s="181">
        <f t="shared" si="5"/>
        <v>0.10200000000000001</v>
      </c>
      <c r="AE27" s="182">
        <f t="shared" si="6"/>
        <v>6.3000000000000014E-2</v>
      </c>
      <c r="AF27" s="162">
        <f t="shared" si="7"/>
        <v>5.1000000000000004E-2</v>
      </c>
      <c r="AG27" s="181">
        <f t="shared" si="8"/>
        <v>0.11400000000000002</v>
      </c>
      <c r="AH27" s="180">
        <f t="shared" si="9"/>
        <v>9.1350000000000028E-2</v>
      </c>
      <c r="AI27" s="180">
        <f t="shared" si="9"/>
        <v>7.3950000000000016E-2</v>
      </c>
      <c r="AJ27" s="180">
        <f t="shared" si="9"/>
        <v>0.16530000000000006</v>
      </c>
      <c r="AK27" s="183">
        <f t="shared" si="16"/>
        <v>2.3979375000000008E-2</v>
      </c>
      <c r="AL27" s="183">
        <f t="shared" si="17"/>
        <v>-2.0952500000000002E-2</v>
      </c>
      <c r="AM27" s="186">
        <f t="shared" si="10"/>
        <v>3.0268750000000053E-3</v>
      </c>
      <c r="AN27" s="180">
        <f>SUM($AM$19:AM27)</f>
        <v>2.484655555555558E-2</v>
      </c>
      <c r="AO27" s="181">
        <f t="shared" si="11"/>
        <v>6.8234009688581354</v>
      </c>
      <c r="AP27" s="181">
        <f t="shared" si="12"/>
        <v>0.12494604844290681</v>
      </c>
      <c r="AQ27" s="188">
        <f t="shared" si="13"/>
        <v>56.86167474048446</v>
      </c>
      <c r="AR27" s="188">
        <f t="shared" si="14"/>
        <v>1.0412170703575567</v>
      </c>
    </row>
    <row r="28" spans="1:44" s="77" customFormat="1" ht="12.75" x14ac:dyDescent="0.2">
      <c r="B28" s="77" t="s">
        <v>130</v>
      </c>
      <c r="L28" s="157"/>
      <c r="M28" s="156"/>
      <c r="N28" s="156"/>
      <c r="O28" s="156"/>
      <c r="P28" s="156"/>
      <c r="Q28" s="156"/>
      <c r="R28" s="156"/>
      <c r="S28" s="156"/>
      <c r="T28" s="156"/>
      <c r="U28" s="157"/>
      <c r="V28" s="88"/>
      <c r="W28" s="88">
        <v>9</v>
      </c>
      <c r="X28" s="178">
        <f t="shared" si="15"/>
        <v>0.96000000000000008</v>
      </c>
      <c r="Y28" s="84">
        <f t="shared" si="0"/>
        <v>1.08</v>
      </c>
      <c r="Z28" s="84">
        <f t="shared" si="1"/>
        <v>1.02</v>
      </c>
      <c r="AA28" s="178">
        <f t="shared" si="2"/>
        <v>1.385</v>
      </c>
      <c r="AB28" s="178">
        <f t="shared" si="3"/>
        <v>0.52833333333333332</v>
      </c>
      <c r="AC28" s="178">
        <f t="shared" si="4"/>
        <v>6.3399999999999998E-2</v>
      </c>
      <c r="AD28" s="181">
        <f t="shared" si="5"/>
        <v>0.10280000000000002</v>
      </c>
      <c r="AE28" s="182">
        <f t="shared" si="6"/>
        <v>6.3399999999999998E-2</v>
      </c>
      <c r="AF28" s="162">
        <f t="shared" si="7"/>
        <v>5.1400000000000008E-2</v>
      </c>
      <c r="AG28" s="181">
        <f t="shared" si="8"/>
        <v>0.11480000000000001</v>
      </c>
      <c r="AH28" s="180">
        <f t="shared" si="9"/>
        <v>9.1930000000000012E-2</v>
      </c>
      <c r="AI28" s="180">
        <f t="shared" si="9"/>
        <v>7.4530000000000027E-2</v>
      </c>
      <c r="AJ28" s="180">
        <f t="shared" si="9"/>
        <v>0.16646000000000005</v>
      </c>
      <c r="AK28" s="183">
        <f t="shared" si="16"/>
        <v>2.4284841666666668E-2</v>
      </c>
      <c r="AL28" s="183">
        <f t="shared" si="17"/>
        <v>-2.1282455555555562E-2</v>
      </c>
      <c r="AM28" s="186">
        <f t="shared" si="10"/>
        <v>3.0023861111111057E-3</v>
      </c>
      <c r="AN28" s="180">
        <f>SUM($AM$19:AM28)</f>
        <v>2.7848941666666686E-2</v>
      </c>
      <c r="AO28" s="181">
        <f t="shared" si="11"/>
        <v>6.8712844844290695</v>
      </c>
      <c r="AP28" s="181">
        <f t="shared" si="12"/>
        <v>0.12393517422529776</v>
      </c>
      <c r="AQ28" s="188">
        <f t="shared" si="13"/>
        <v>57.260704036908905</v>
      </c>
      <c r="AR28" s="188">
        <f t="shared" si="14"/>
        <v>1.0327931185441479</v>
      </c>
    </row>
    <row r="29" spans="1:44" s="77" customFormat="1" ht="12.75" x14ac:dyDescent="0.2">
      <c r="B29" s="80" t="s">
        <v>122</v>
      </c>
      <c r="C29" s="167">
        <f>Analysis!F312</f>
        <v>22.472081218274113</v>
      </c>
      <c r="D29" s="91" t="s">
        <v>106</v>
      </c>
      <c r="E29" s="73"/>
      <c r="F29" s="73"/>
      <c r="L29" s="157"/>
      <c r="M29" s="156"/>
      <c r="N29" s="156"/>
      <c r="O29" s="156"/>
      <c r="P29" s="156"/>
      <c r="Q29" s="156"/>
      <c r="R29" s="156"/>
      <c r="S29" s="156"/>
      <c r="T29" s="156"/>
      <c r="U29" s="157"/>
      <c r="V29" s="88"/>
      <c r="W29" s="88">
        <v>10</v>
      </c>
      <c r="X29" s="178">
        <f t="shared" si="15"/>
        <v>1.08</v>
      </c>
      <c r="Y29" s="84">
        <f t="shared" si="0"/>
        <v>1.2000000000000002</v>
      </c>
      <c r="Z29" s="84">
        <f t="shared" si="1"/>
        <v>1.1400000000000001</v>
      </c>
      <c r="AA29" s="178">
        <f t="shared" si="2"/>
        <v>1.395</v>
      </c>
      <c r="AB29" s="178">
        <f t="shared" si="3"/>
        <v>0.53166666666666662</v>
      </c>
      <c r="AC29" s="178">
        <f t="shared" si="4"/>
        <v>6.3799999999999996E-2</v>
      </c>
      <c r="AD29" s="181">
        <f t="shared" si="5"/>
        <v>0.10360000000000001</v>
      </c>
      <c r="AE29" s="182">
        <f t="shared" si="6"/>
        <v>6.3799999999999996E-2</v>
      </c>
      <c r="AF29" s="162">
        <f t="shared" si="7"/>
        <v>5.1800000000000006E-2</v>
      </c>
      <c r="AG29" s="181">
        <f t="shared" si="8"/>
        <v>0.11560000000000001</v>
      </c>
      <c r="AH29" s="180">
        <f t="shared" si="9"/>
        <v>9.2510000000000009E-2</v>
      </c>
      <c r="AI29" s="180">
        <f t="shared" si="9"/>
        <v>7.5110000000000024E-2</v>
      </c>
      <c r="AJ29" s="180">
        <f t="shared" si="9"/>
        <v>0.16762000000000002</v>
      </c>
      <c r="AK29" s="183">
        <f t="shared" si="16"/>
        <v>2.4592241666666667E-2</v>
      </c>
      <c r="AL29" s="183">
        <f t="shared" si="17"/>
        <v>-2.1614988888888898E-2</v>
      </c>
      <c r="AM29" s="186">
        <f t="shared" si="10"/>
        <v>2.9772527777777689E-3</v>
      </c>
      <c r="AN29" s="180">
        <f>SUM($AM$19:AM29)</f>
        <v>3.0826194444444455E-2</v>
      </c>
      <c r="AO29" s="181">
        <f t="shared" si="11"/>
        <v>6.9191680000000018</v>
      </c>
      <c r="AP29" s="181">
        <f t="shared" si="12"/>
        <v>0.12289769805459404</v>
      </c>
      <c r="AQ29" s="188">
        <f t="shared" si="13"/>
        <v>57.659733333333342</v>
      </c>
      <c r="AR29" s="188">
        <f t="shared" si="14"/>
        <v>1.0241474837882836</v>
      </c>
    </row>
    <row r="30" spans="1:44" s="77" customFormat="1" ht="12.75" x14ac:dyDescent="0.2">
      <c r="B30" s="169" t="s">
        <v>131</v>
      </c>
      <c r="C30" s="104"/>
      <c r="D30" s="101"/>
      <c r="E30" s="73"/>
      <c r="F30" s="73"/>
      <c r="L30" s="157"/>
      <c r="M30" s="156"/>
      <c r="N30" s="156"/>
      <c r="O30" s="156"/>
      <c r="P30" s="156"/>
      <c r="Q30" s="156"/>
      <c r="R30" s="156"/>
      <c r="S30" s="156"/>
      <c r="T30" s="156"/>
      <c r="U30" s="157"/>
      <c r="V30" s="88"/>
      <c r="W30" s="88">
        <v>11</v>
      </c>
      <c r="X30" s="178">
        <f t="shared" si="15"/>
        <v>1.2000000000000002</v>
      </c>
      <c r="Y30" s="84">
        <f t="shared" si="0"/>
        <v>1.3200000000000003</v>
      </c>
      <c r="Z30" s="84">
        <f t="shared" si="1"/>
        <v>1.2600000000000002</v>
      </c>
      <c r="AA30" s="178">
        <f t="shared" si="2"/>
        <v>1.405</v>
      </c>
      <c r="AB30" s="178">
        <f t="shared" si="3"/>
        <v>0.53500000000000003</v>
      </c>
      <c r="AC30" s="178">
        <f t="shared" si="4"/>
        <v>6.4200000000000007E-2</v>
      </c>
      <c r="AD30" s="181">
        <f t="shared" si="5"/>
        <v>0.10440000000000001</v>
      </c>
      <c r="AE30" s="182">
        <f t="shared" si="6"/>
        <v>6.4200000000000007E-2</v>
      </c>
      <c r="AF30" s="162">
        <f t="shared" si="7"/>
        <v>5.2200000000000003E-2</v>
      </c>
      <c r="AG30" s="181">
        <f t="shared" si="8"/>
        <v>0.1164</v>
      </c>
      <c r="AH30" s="180">
        <f t="shared" si="9"/>
        <v>9.309000000000002E-2</v>
      </c>
      <c r="AI30" s="180">
        <f t="shared" si="9"/>
        <v>7.5690000000000007E-2</v>
      </c>
      <c r="AJ30" s="180">
        <f t="shared" si="9"/>
        <v>0.16878000000000001</v>
      </c>
      <c r="AK30" s="183">
        <f t="shared" si="16"/>
        <v>2.4901575000000006E-2</v>
      </c>
      <c r="AL30" s="183">
        <f t="shared" si="17"/>
        <v>-2.19501E-2</v>
      </c>
      <c r="AM30" s="186">
        <f t="shared" si="10"/>
        <v>2.9514750000000055E-3</v>
      </c>
      <c r="AN30" s="180">
        <f>SUM($AM$19:AM30)</f>
        <v>3.3777669444444464E-2</v>
      </c>
      <c r="AO30" s="181">
        <f t="shared" si="11"/>
        <v>6.9670515155709358</v>
      </c>
      <c r="AP30" s="181">
        <f t="shared" si="12"/>
        <v>0.1218336199307961</v>
      </c>
      <c r="AQ30" s="188">
        <f t="shared" si="13"/>
        <v>58.058762629757794</v>
      </c>
      <c r="AR30" s="188">
        <f t="shared" si="14"/>
        <v>1.0152801660899673</v>
      </c>
    </row>
    <row r="31" spans="1:44" s="77" customFormat="1" ht="12.75" x14ac:dyDescent="0.2">
      <c r="B31" s="80" t="s">
        <v>82</v>
      </c>
      <c r="C31" s="77" t="str">
        <f>[1]!xln(C32)</f>
        <v>22.5 × 1.84</v>
      </c>
      <c r="L31" s="157"/>
      <c r="M31" s="156"/>
      <c r="N31" s="156"/>
      <c r="O31" s="156"/>
      <c r="P31" s="156"/>
      <c r="Q31" s="156"/>
      <c r="R31" s="156"/>
      <c r="S31" s="156"/>
      <c r="T31" s="156"/>
      <c r="U31" s="157"/>
      <c r="V31" s="88"/>
      <c r="W31" s="88">
        <v>12</v>
      </c>
      <c r="X31" s="178">
        <f t="shared" si="15"/>
        <v>1.3200000000000003</v>
      </c>
      <c r="Y31" s="84">
        <f t="shared" si="0"/>
        <v>1.4400000000000004</v>
      </c>
      <c r="Z31" s="84">
        <f t="shared" si="1"/>
        <v>1.3800000000000003</v>
      </c>
      <c r="AA31" s="178">
        <f t="shared" si="2"/>
        <v>1.415</v>
      </c>
      <c r="AB31" s="178">
        <f t="shared" si="3"/>
        <v>0.53833333333333333</v>
      </c>
      <c r="AC31" s="178">
        <f t="shared" si="4"/>
        <v>6.4600000000000005E-2</v>
      </c>
      <c r="AD31" s="181">
        <f t="shared" si="5"/>
        <v>0.10520000000000002</v>
      </c>
      <c r="AE31" s="182">
        <f t="shared" si="6"/>
        <v>6.4600000000000005E-2</v>
      </c>
      <c r="AF31" s="162">
        <f t="shared" si="7"/>
        <v>5.2600000000000008E-2</v>
      </c>
      <c r="AG31" s="181">
        <f t="shared" si="8"/>
        <v>0.11720000000000001</v>
      </c>
      <c r="AH31" s="180">
        <f t="shared" si="9"/>
        <v>9.3670000000000017E-2</v>
      </c>
      <c r="AI31" s="180">
        <f t="shared" si="9"/>
        <v>7.6270000000000018E-2</v>
      </c>
      <c r="AJ31" s="180">
        <f t="shared" si="9"/>
        <v>0.16994000000000004</v>
      </c>
      <c r="AK31" s="183">
        <f t="shared" si="16"/>
        <v>2.521284166666667E-2</v>
      </c>
      <c r="AL31" s="183">
        <f t="shared" si="17"/>
        <v>-2.2287788888888892E-2</v>
      </c>
      <c r="AM31" s="186">
        <f t="shared" si="10"/>
        <v>2.9250527777777771E-3</v>
      </c>
      <c r="AN31" s="180">
        <f>SUM($AM$19:AM31)</f>
        <v>3.6702722222222241E-2</v>
      </c>
      <c r="AO31" s="181">
        <f t="shared" si="11"/>
        <v>7.0149350311418708</v>
      </c>
      <c r="AP31" s="181">
        <f t="shared" si="12"/>
        <v>0.12074293985390235</v>
      </c>
      <c r="AQ31" s="188">
        <f t="shared" si="13"/>
        <v>58.457791926182253</v>
      </c>
      <c r="AR31" s="188">
        <f t="shared" si="14"/>
        <v>1.0061911654491862</v>
      </c>
    </row>
    <row r="32" spans="1:44" s="77" customFormat="1" ht="12.75" x14ac:dyDescent="0.2">
      <c r="A32" s="79"/>
      <c r="B32" s="80" t="s">
        <v>82</v>
      </c>
      <c r="C32" s="170">
        <f>C29*C25</f>
        <v>41.278892733564021</v>
      </c>
      <c r="D32" s="91" t="s">
        <v>106</v>
      </c>
      <c r="E32" s="73"/>
      <c r="F32" s="73"/>
      <c r="G32" s="73"/>
      <c r="H32" s="81"/>
      <c r="K32" s="73"/>
      <c r="L32" s="157"/>
      <c r="M32" s="156"/>
      <c r="N32" s="156"/>
      <c r="O32" s="156"/>
      <c r="P32" s="156"/>
      <c r="Q32" s="156"/>
      <c r="R32" s="156"/>
      <c r="S32" s="156"/>
      <c r="T32" s="156"/>
      <c r="U32" s="157"/>
      <c r="V32" s="88"/>
      <c r="W32" s="88">
        <v>13</v>
      </c>
      <c r="X32" s="178">
        <f t="shared" si="15"/>
        <v>1.4400000000000004</v>
      </c>
      <c r="Y32" s="84">
        <f t="shared" si="0"/>
        <v>1.5600000000000005</v>
      </c>
      <c r="Z32" s="84">
        <f t="shared" si="1"/>
        <v>1.5000000000000004</v>
      </c>
      <c r="AA32" s="178">
        <f t="shared" si="2"/>
        <v>1.425</v>
      </c>
      <c r="AB32" s="178">
        <f t="shared" si="3"/>
        <v>0.54166666666666663</v>
      </c>
      <c r="AC32" s="178">
        <f t="shared" si="4"/>
        <v>6.5000000000000002E-2</v>
      </c>
      <c r="AD32" s="181">
        <f t="shared" si="5"/>
        <v>0.10600000000000002</v>
      </c>
      <c r="AE32" s="182">
        <f t="shared" si="6"/>
        <v>6.5000000000000002E-2</v>
      </c>
      <c r="AF32" s="162">
        <f t="shared" si="7"/>
        <v>5.3000000000000012E-2</v>
      </c>
      <c r="AG32" s="181">
        <f t="shared" si="8"/>
        <v>0.11800000000000002</v>
      </c>
      <c r="AH32" s="180">
        <f t="shared" si="9"/>
        <v>9.4250000000000014E-2</v>
      </c>
      <c r="AI32" s="180">
        <f t="shared" si="9"/>
        <v>7.6850000000000029E-2</v>
      </c>
      <c r="AJ32" s="180">
        <f t="shared" si="9"/>
        <v>0.17110000000000006</v>
      </c>
      <c r="AK32" s="183">
        <f t="shared" si="16"/>
        <v>2.5526041666666669E-2</v>
      </c>
      <c r="AL32" s="183">
        <f t="shared" si="17"/>
        <v>-2.2628055555555564E-2</v>
      </c>
      <c r="AM32" s="186">
        <f t="shared" si="10"/>
        <v>2.8979861111111047E-3</v>
      </c>
      <c r="AN32" s="180">
        <f>SUM($AM$19:AM32)</f>
        <v>3.9600708333333345E-2</v>
      </c>
      <c r="AO32" s="181">
        <f t="shared" si="11"/>
        <v>7.0628185467128066</v>
      </c>
      <c r="AP32" s="181">
        <f t="shared" si="12"/>
        <v>0.11962565782391363</v>
      </c>
      <c r="AQ32" s="188">
        <f t="shared" si="13"/>
        <v>58.856821222606719</v>
      </c>
      <c r="AR32" s="188">
        <f t="shared" si="14"/>
        <v>0.9968804818659468</v>
      </c>
    </row>
    <row r="33" spans="1:44" s="77" customFormat="1" ht="12.75" x14ac:dyDescent="0.2">
      <c r="A33" s="79"/>
      <c r="B33" s="76"/>
      <c r="C33" s="78"/>
      <c r="D33" s="73"/>
      <c r="E33" s="73"/>
      <c r="F33" s="82"/>
      <c r="G33" s="73"/>
      <c r="H33" s="82"/>
      <c r="K33" s="73"/>
      <c r="L33" s="157"/>
      <c r="M33" s="156"/>
      <c r="N33" s="156"/>
      <c r="O33" s="156"/>
      <c r="P33" s="156"/>
      <c r="Q33" s="156"/>
      <c r="R33" s="156"/>
      <c r="S33" s="156"/>
      <c r="T33" s="156"/>
      <c r="U33" s="157"/>
      <c r="V33" s="88"/>
      <c r="W33" s="88">
        <v>14</v>
      </c>
      <c r="X33" s="178">
        <f t="shared" si="15"/>
        <v>1.5600000000000005</v>
      </c>
      <c r="Y33" s="84">
        <f t="shared" si="0"/>
        <v>1.6800000000000006</v>
      </c>
      <c r="Z33" s="84">
        <f t="shared" si="1"/>
        <v>1.6200000000000006</v>
      </c>
      <c r="AA33" s="178">
        <f t="shared" si="2"/>
        <v>1.4350000000000001</v>
      </c>
      <c r="AB33" s="178">
        <f t="shared" si="3"/>
        <v>0.54500000000000004</v>
      </c>
      <c r="AC33" s="178">
        <f t="shared" si="4"/>
        <v>6.5400000000000014E-2</v>
      </c>
      <c r="AD33" s="181">
        <f t="shared" si="5"/>
        <v>0.10680000000000001</v>
      </c>
      <c r="AE33" s="182">
        <f t="shared" si="6"/>
        <v>6.5400000000000014E-2</v>
      </c>
      <c r="AF33" s="162">
        <f t="shared" si="7"/>
        <v>5.3400000000000003E-2</v>
      </c>
      <c r="AG33" s="181">
        <f t="shared" si="8"/>
        <v>0.11880000000000002</v>
      </c>
      <c r="AH33" s="180">
        <f t="shared" si="9"/>
        <v>9.4830000000000025E-2</v>
      </c>
      <c r="AI33" s="180">
        <f t="shared" si="9"/>
        <v>7.7430000000000013E-2</v>
      </c>
      <c r="AJ33" s="180">
        <f t="shared" si="9"/>
        <v>0.17226000000000005</v>
      </c>
      <c r="AK33" s="183">
        <f t="shared" si="16"/>
        <v>2.5841175000000008E-2</v>
      </c>
      <c r="AL33" s="183">
        <f t="shared" si="17"/>
        <v>-2.2970900000000006E-2</v>
      </c>
      <c r="AM33" s="186">
        <f t="shared" si="10"/>
        <v>2.870275000000002E-3</v>
      </c>
      <c r="AN33" s="180">
        <f>SUM($AM$19:AM33)</f>
        <v>4.2470983333333351E-2</v>
      </c>
      <c r="AO33" s="181">
        <f t="shared" si="11"/>
        <v>7.1107020622837407</v>
      </c>
      <c r="AP33" s="181">
        <f t="shared" si="12"/>
        <v>0.11848177384083056</v>
      </c>
      <c r="AQ33" s="188">
        <f t="shared" si="13"/>
        <v>59.255850519031171</v>
      </c>
      <c r="AR33" s="188">
        <f t="shared" si="14"/>
        <v>0.98734811534025457</v>
      </c>
    </row>
    <row r="34" spans="1:44" s="77" customFormat="1" ht="12.75" x14ac:dyDescent="0.2">
      <c r="A34" s="73"/>
      <c r="B34" s="75" t="s">
        <v>121</v>
      </c>
      <c r="C34" s="73"/>
      <c r="D34" s="73"/>
      <c r="E34" s="73"/>
      <c r="F34" s="82"/>
      <c r="G34" s="73"/>
      <c r="H34" s="82"/>
      <c r="K34" s="73"/>
      <c r="L34" s="157"/>
      <c r="M34" s="156"/>
      <c r="N34" s="156"/>
      <c r="O34" s="156"/>
      <c r="P34" s="156"/>
      <c r="Q34" s="156"/>
      <c r="R34" s="156"/>
      <c r="S34" s="156"/>
      <c r="T34" s="156"/>
      <c r="U34" s="157"/>
      <c r="V34" s="88"/>
      <c r="W34" s="88">
        <v>15</v>
      </c>
      <c r="X34" s="178">
        <f t="shared" si="15"/>
        <v>1.6800000000000006</v>
      </c>
      <c r="Y34" s="84">
        <f t="shared" si="0"/>
        <v>1.8000000000000007</v>
      </c>
      <c r="Z34" s="84">
        <f t="shared" si="1"/>
        <v>1.7400000000000007</v>
      </c>
      <c r="AA34" s="178">
        <f t="shared" si="2"/>
        <v>1.4450000000000001</v>
      </c>
      <c r="AB34" s="178">
        <f t="shared" si="3"/>
        <v>0.54833333333333334</v>
      </c>
      <c r="AC34" s="178">
        <f t="shared" si="4"/>
        <v>6.5800000000000011E-2</v>
      </c>
      <c r="AD34" s="181">
        <f t="shared" si="5"/>
        <v>0.10760000000000002</v>
      </c>
      <c r="AE34" s="182">
        <f t="shared" si="6"/>
        <v>6.5800000000000011E-2</v>
      </c>
      <c r="AF34" s="162">
        <f t="shared" si="7"/>
        <v>5.3800000000000008E-2</v>
      </c>
      <c r="AG34" s="181">
        <f t="shared" si="8"/>
        <v>0.11960000000000001</v>
      </c>
      <c r="AH34" s="180">
        <f t="shared" si="9"/>
        <v>9.5410000000000023E-2</v>
      </c>
      <c r="AI34" s="180">
        <f t="shared" si="9"/>
        <v>7.8010000000000024E-2</v>
      </c>
      <c r="AJ34" s="180">
        <f t="shared" si="9"/>
        <v>0.17342000000000005</v>
      </c>
      <c r="AK34" s="183">
        <f t="shared" si="16"/>
        <v>2.6158241666666672E-2</v>
      </c>
      <c r="AL34" s="183">
        <f t="shared" si="17"/>
        <v>-2.3316322222222231E-2</v>
      </c>
      <c r="AM34" s="186">
        <f t="shared" si="10"/>
        <v>2.8419194444444414E-3</v>
      </c>
      <c r="AN34" s="180">
        <f>SUM($AM$19:AM34)</f>
        <v>4.5312902777777789E-2</v>
      </c>
      <c r="AO34" s="181">
        <f t="shared" si="11"/>
        <v>7.1585855778546748</v>
      </c>
      <c r="AP34" s="181">
        <f t="shared" si="12"/>
        <v>0.11731128790465195</v>
      </c>
      <c r="AQ34" s="188">
        <f t="shared" si="13"/>
        <v>59.654879815455615</v>
      </c>
      <c r="AR34" s="188">
        <f t="shared" si="14"/>
        <v>0.97759406587209952</v>
      </c>
    </row>
    <row r="35" spans="1:44" s="77" customFormat="1" ht="12.75" x14ac:dyDescent="0.2">
      <c r="A35" s="79"/>
      <c r="B35" s="80"/>
      <c r="C35" s="81"/>
      <c r="D35" s="73"/>
      <c r="E35" s="73"/>
      <c r="F35" s="84"/>
      <c r="G35" s="73"/>
      <c r="H35" s="84"/>
      <c r="K35" s="103" t="s">
        <v>138</v>
      </c>
      <c r="L35" s="157"/>
      <c r="M35" s="156"/>
      <c r="N35" s="156"/>
      <c r="O35" s="156"/>
      <c r="P35" s="156"/>
      <c r="Q35" s="156"/>
      <c r="R35" s="156"/>
      <c r="S35" s="156"/>
      <c r="T35" s="156"/>
      <c r="U35" s="157"/>
      <c r="V35" s="88"/>
      <c r="W35" s="88">
        <v>16</v>
      </c>
      <c r="X35" s="178">
        <f t="shared" si="15"/>
        <v>1.8000000000000007</v>
      </c>
      <c r="Y35" s="84">
        <f t="shared" si="0"/>
        <v>1.9200000000000008</v>
      </c>
      <c r="Z35" s="84">
        <f t="shared" si="1"/>
        <v>1.8600000000000008</v>
      </c>
      <c r="AA35" s="178">
        <f t="shared" si="2"/>
        <v>1.4550000000000001</v>
      </c>
      <c r="AB35" s="178">
        <f t="shared" si="3"/>
        <v>0.55166666666666664</v>
      </c>
      <c r="AC35" s="178">
        <f t="shared" si="4"/>
        <v>6.6199999999999995E-2</v>
      </c>
      <c r="AD35" s="181">
        <f t="shared" si="5"/>
        <v>0.10840000000000002</v>
      </c>
      <c r="AE35" s="182">
        <f t="shared" si="6"/>
        <v>6.6199999999999995E-2</v>
      </c>
      <c r="AF35" s="162">
        <f t="shared" si="7"/>
        <v>5.4200000000000012E-2</v>
      </c>
      <c r="AG35" s="181">
        <f t="shared" si="8"/>
        <v>0.12040000000000001</v>
      </c>
      <c r="AH35" s="180">
        <f t="shared" si="9"/>
        <v>9.5990000000000006E-2</v>
      </c>
      <c r="AI35" s="180">
        <f t="shared" si="9"/>
        <v>7.8590000000000021E-2</v>
      </c>
      <c r="AJ35" s="180">
        <f t="shared" si="9"/>
        <v>0.17458000000000004</v>
      </c>
      <c r="AK35" s="183">
        <f t="shared" si="16"/>
        <v>2.6477241666666668E-2</v>
      </c>
      <c r="AL35" s="183">
        <f t="shared" si="17"/>
        <v>-2.3664322222222232E-2</v>
      </c>
      <c r="AM35" s="186">
        <f t="shared" si="10"/>
        <v>2.8129194444444366E-3</v>
      </c>
      <c r="AN35" s="180">
        <f>SUM($AM$19:AM35)</f>
        <v>4.8125822222222225E-2</v>
      </c>
      <c r="AO35" s="181">
        <f t="shared" si="11"/>
        <v>7.2064690934256088</v>
      </c>
      <c r="AP35" s="181">
        <f t="shared" si="12"/>
        <v>0.11611420001537839</v>
      </c>
      <c r="AQ35" s="188">
        <f t="shared" si="13"/>
        <v>60.053909111880067</v>
      </c>
      <c r="AR35" s="188">
        <f t="shared" si="14"/>
        <v>0.96761833346148651</v>
      </c>
    </row>
    <row r="36" spans="1:44" s="77" customFormat="1" ht="12.75" x14ac:dyDescent="0.2">
      <c r="A36" s="79" t="s">
        <v>138</v>
      </c>
      <c r="E36" s="73"/>
      <c r="F36" s="84"/>
      <c r="G36" s="73"/>
      <c r="H36" s="84"/>
      <c r="K36" s="103" t="s">
        <v>137</v>
      </c>
      <c r="L36" s="157"/>
      <c r="M36" s="156"/>
      <c r="N36" s="156"/>
      <c r="O36" s="156"/>
      <c r="P36" s="156"/>
      <c r="Q36" s="156"/>
      <c r="R36" s="156"/>
      <c r="S36" s="156"/>
      <c r="T36" s="156"/>
      <c r="U36" s="157"/>
      <c r="V36" s="88"/>
      <c r="W36" s="88">
        <v>17</v>
      </c>
      <c r="X36" s="178">
        <f t="shared" si="15"/>
        <v>1.9200000000000008</v>
      </c>
      <c r="Y36" s="84">
        <f t="shared" si="0"/>
        <v>2.0400000000000009</v>
      </c>
      <c r="Z36" s="84">
        <f t="shared" si="1"/>
        <v>1.9800000000000009</v>
      </c>
      <c r="AA36" s="178">
        <f t="shared" si="2"/>
        <v>1.4650000000000001</v>
      </c>
      <c r="AB36" s="178">
        <f t="shared" si="3"/>
        <v>0.55500000000000005</v>
      </c>
      <c r="AC36" s="178">
        <f t="shared" si="4"/>
        <v>6.6600000000000006E-2</v>
      </c>
      <c r="AD36" s="181">
        <f t="shared" si="5"/>
        <v>0.10920000000000001</v>
      </c>
      <c r="AE36" s="182">
        <f t="shared" si="6"/>
        <v>6.6600000000000006E-2</v>
      </c>
      <c r="AF36" s="162">
        <f t="shared" si="7"/>
        <v>5.4600000000000003E-2</v>
      </c>
      <c r="AG36" s="181">
        <f t="shared" si="8"/>
        <v>0.1212</v>
      </c>
      <c r="AH36" s="180">
        <f t="shared" si="9"/>
        <v>9.6570000000000017E-2</v>
      </c>
      <c r="AI36" s="180">
        <f t="shared" si="9"/>
        <v>7.9170000000000018E-2</v>
      </c>
      <c r="AJ36" s="180">
        <f t="shared" si="9"/>
        <v>0.17574000000000004</v>
      </c>
      <c r="AK36" s="183">
        <f t="shared" si="16"/>
        <v>2.6798175000000007E-2</v>
      </c>
      <c r="AL36" s="183">
        <f t="shared" si="17"/>
        <v>-2.4014900000000006E-2</v>
      </c>
      <c r="AM36" s="186">
        <f t="shared" si="10"/>
        <v>2.7832750000000017E-3</v>
      </c>
      <c r="AN36" s="180">
        <f>SUM($AM$19:AM36)</f>
        <v>5.0909097222222227E-2</v>
      </c>
      <c r="AO36" s="181">
        <f t="shared" si="11"/>
        <v>7.2543526089965429</v>
      </c>
      <c r="AP36" s="181">
        <f t="shared" si="12"/>
        <v>0.11489051017301047</v>
      </c>
      <c r="AQ36" s="188">
        <f t="shared" si="13"/>
        <v>60.452938408304519</v>
      </c>
      <c r="AR36" s="188">
        <f t="shared" si="14"/>
        <v>0.95742091810842045</v>
      </c>
    </row>
    <row r="37" spans="1:44" s="77" customFormat="1" ht="12.75" x14ac:dyDescent="0.2">
      <c r="A37" s="79" t="s">
        <v>137</v>
      </c>
      <c r="E37" s="73"/>
      <c r="F37" s="84"/>
      <c r="G37" s="73"/>
      <c r="H37" s="84"/>
      <c r="J37" s="173">
        <v>0.6</v>
      </c>
      <c r="K37" s="77" t="s">
        <v>136</v>
      </c>
      <c r="L37" s="157"/>
      <c r="M37" s="156"/>
      <c r="N37" s="156"/>
      <c r="O37" s="156"/>
      <c r="P37" s="156"/>
      <c r="Q37" s="156"/>
      <c r="R37" s="156"/>
      <c r="S37" s="156"/>
      <c r="T37" s="156"/>
      <c r="U37" s="157"/>
      <c r="V37" s="88"/>
      <c r="W37" s="88">
        <v>18</v>
      </c>
      <c r="X37" s="178">
        <f t="shared" si="15"/>
        <v>2.0400000000000009</v>
      </c>
      <c r="Y37" s="84">
        <f t="shared" si="0"/>
        <v>2.160000000000001</v>
      </c>
      <c r="Z37" s="84">
        <f t="shared" si="1"/>
        <v>2.100000000000001</v>
      </c>
      <c r="AA37" s="178">
        <f t="shared" si="2"/>
        <v>1.4750000000000001</v>
      </c>
      <c r="AB37" s="178">
        <f t="shared" si="3"/>
        <v>0.55833333333333335</v>
      </c>
      <c r="AC37" s="178">
        <f t="shared" si="4"/>
        <v>6.7000000000000004E-2</v>
      </c>
      <c r="AD37" s="181">
        <f t="shared" si="5"/>
        <v>0.11000000000000001</v>
      </c>
      <c r="AE37" s="182">
        <f t="shared" si="6"/>
        <v>6.7000000000000004E-2</v>
      </c>
      <c r="AF37" s="162">
        <f t="shared" si="7"/>
        <v>5.5000000000000007E-2</v>
      </c>
      <c r="AG37" s="181">
        <f t="shared" si="8"/>
        <v>0.12200000000000001</v>
      </c>
      <c r="AH37" s="180">
        <f t="shared" si="9"/>
        <v>9.7150000000000014E-2</v>
      </c>
      <c r="AI37" s="180">
        <f t="shared" si="9"/>
        <v>7.9750000000000015E-2</v>
      </c>
      <c r="AJ37" s="180">
        <f t="shared" si="9"/>
        <v>0.17690000000000003</v>
      </c>
      <c r="AK37" s="183">
        <f t="shared" si="16"/>
        <v>2.7121041666666672E-2</v>
      </c>
      <c r="AL37" s="183">
        <f t="shared" si="17"/>
        <v>-2.4368055555555563E-2</v>
      </c>
      <c r="AM37" s="186">
        <f t="shared" si="10"/>
        <v>2.7529861111111088E-3</v>
      </c>
      <c r="AN37" s="180">
        <f>SUM($AM$19:AM37)</f>
        <v>5.3662083333333332E-2</v>
      </c>
      <c r="AO37" s="181">
        <f t="shared" si="11"/>
        <v>7.3022361245674769</v>
      </c>
      <c r="AP37" s="181">
        <f t="shared" si="12"/>
        <v>0.11364021837754702</v>
      </c>
      <c r="AQ37" s="188">
        <f t="shared" si="13"/>
        <v>60.85196770472897</v>
      </c>
      <c r="AR37" s="188">
        <f t="shared" si="14"/>
        <v>0.94700181981289178</v>
      </c>
    </row>
    <row r="38" spans="1:44" s="77" customFormat="1" ht="12.75" x14ac:dyDescent="0.2">
      <c r="A38" s="173">
        <v>0.5</v>
      </c>
      <c r="B38" s="77" t="s">
        <v>136</v>
      </c>
      <c r="E38" s="73"/>
      <c r="F38" s="84"/>
      <c r="G38" s="73"/>
      <c r="H38" s="84"/>
      <c r="K38" s="79"/>
      <c r="L38" s="157"/>
      <c r="M38" s="156"/>
      <c r="N38" s="156"/>
      <c r="O38" s="156"/>
      <c r="P38" s="156"/>
      <c r="Q38" s="156"/>
      <c r="R38" s="156"/>
      <c r="S38" s="156"/>
      <c r="T38" s="156"/>
      <c r="U38" s="157"/>
      <c r="V38" s="88"/>
      <c r="W38" s="88">
        <v>19</v>
      </c>
      <c r="X38" s="178">
        <f t="shared" si="15"/>
        <v>2.160000000000001</v>
      </c>
      <c r="Y38" s="84">
        <f t="shared" si="0"/>
        <v>2.2800000000000011</v>
      </c>
      <c r="Z38" s="84">
        <f t="shared" si="1"/>
        <v>2.2200000000000011</v>
      </c>
      <c r="AA38" s="178">
        <f t="shared" si="2"/>
        <v>1.4850000000000001</v>
      </c>
      <c r="AB38" s="178">
        <f t="shared" si="3"/>
        <v>0.56166666666666665</v>
      </c>
      <c r="AC38" s="178">
        <f t="shared" si="4"/>
        <v>6.7400000000000002E-2</v>
      </c>
      <c r="AD38" s="181">
        <f t="shared" si="5"/>
        <v>0.11080000000000002</v>
      </c>
      <c r="AE38" s="182">
        <f t="shared" si="6"/>
        <v>6.7400000000000002E-2</v>
      </c>
      <c r="AF38" s="162">
        <f t="shared" si="7"/>
        <v>5.5400000000000012E-2</v>
      </c>
      <c r="AG38" s="181">
        <f t="shared" si="8"/>
        <v>0.12280000000000002</v>
      </c>
      <c r="AH38" s="180">
        <f t="shared" si="9"/>
        <v>9.7730000000000011E-2</v>
      </c>
      <c r="AI38" s="180">
        <f t="shared" si="9"/>
        <v>8.0330000000000026E-2</v>
      </c>
      <c r="AJ38" s="180">
        <f t="shared" si="9"/>
        <v>0.17806000000000005</v>
      </c>
      <c r="AK38" s="183">
        <f t="shared" si="16"/>
        <v>2.7445841666666668E-2</v>
      </c>
      <c r="AL38" s="183">
        <f t="shared" si="17"/>
        <v>-2.47237888888889E-2</v>
      </c>
      <c r="AM38" s="186">
        <f t="shared" si="10"/>
        <v>2.7220527777777684E-3</v>
      </c>
      <c r="AN38" s="180">
        <f>SUM($AM$19:AM38)</f>
        <v>5.6384136111111101E-2</v>
      </c>
      <c r="AO38" s="181">
        <f t="shared" si="11"/>
        <v>7.3501196401384119</v>
      </c>
      <c r="AP38" s="181">
        <f t="shared" si="12"/>
        <v>0.11236332462898849</v>
      </c>
      <c r="AQ38" s="188">
        <f t="shared" si="13"/>
        <v>61.250997001153429</v>
      </c>
      <c r="AR38" s="188">
        <f t="shared" si="14"/>
        <v>0.93636103857490394</v>
      </c>
    </row>
    <row r="39" spans="1:44" s="77" customFormat="1" ht="12.75" x14ac:dyDescent="0.2">
      <c r="A39" s="73"/>
      <c r="E39" s="80"/>
      <c r="I39" s="73"/>
      <c r="J39" s="73"/>
      <c r="K39" s="73"/>
      <c r="L39" s="157"/>
      <c r="M39" s="156"/>
      <c r="N39" s="156"/>
      <c r="O39" s="156"/>
      <c r="P39" s="156"/>
      <c r="Q39" s="156"/>
      <c r="R39" s="156"/>
      <c r="S39" s="156"/>
      <c r="T39" s="156"/>
      <c r="U39" s="157"/>
      <c r="V39" s="88"/>
      <c r="W39" s="88">
        <v>20</v>
      </c>
      <c r="X39" s="178">
        <f t="shared" si="15"/>
        <v>2.2800000000000011</v>
      </c>
      <c r="Y39" s="84">
        <f t="shared" si="0"/>
        <v>2.4000000000000012</v>
      </c>
      <c r="Z39" s="84">
        <f t="shared" si="1"/>
        <v>2.3400000000000012</v>
      </c>
      <c r="AA39" s="178">
        <f t="shared" si="2"/>
        <v>1.4950000000000001</v>
      </c>
      <c r="AB39" s="178">
        <f t="shared" si="3"/>
        <v>0.56500000000000006</v>
      </c>
      <c r="AC39" s="178">
        <f t="shared" si="4"/>
        <v>6.7800000000000013E-2</v>
      </c>
      <c r="AD39" s="181">
        <f t="shared" si="5"/>
        <v>0.11160000000000002</v>
      </c>
      <c r="AE39" s="182">
        <f t="shared" si="6"/>
        <v>6.7800000000000013E-2</v>
      </c>
      <c r="AF39" s="162">
        <f t="shared" si="7"/>
        <v>5.5800000000000009E-2</v>
      </c>
      <c r="AG39" s="181">
        <f t="shared" si="8"/>
        <v>0.12360000000000002</v>
      </c>
      <c r="AH39" s="180">
        <f t="shared" si="9"/>
        <v>9.8310000000000036E-2</v>
      </c>
      <c r="AI39" s="180">
        <f t="shared" si="9"/>
        <v>8.0910000000000024E-2</v>
      </c>
      <c r="AJ39" s="180">
        <f t="shared" si="9"/>
        <v>0.17922000000000005</v>
      </c>
      <c r="AK39" s="183">
        <f t="shared" si="16"/>
        <v>2.7772575000000015E-2</v>
      </c>
      <c r="AL39" s="183">
        <f t="shared" si="17"/>
        <v>-2.5082100000000006E-2</v>
      </c>
      <c r="AM39" s="186">
        <f t="shared" si="10"/>
        <v>2.6904750000000081E-3</v>
      </c>
      <c r="AN39" s="180">
        <f>SUM($AM$19:AM39)</f>
        <v>5.9074611111111106E-2</v>
      </c>
      <c r="AO39" s="181">
        <f t="shared" si="11"/>
        <v>7.398003155709346</v>
      </c>
      <c r="AP39" s="181">
        <f t="shared" si="12"/>
        <v>0.111059828927336</v>
      </c>
      <c r="AQ39" s="188">
        <f t="shared" si="13"/>
        <v>61.650026297577881</v>
      </c>
      <c r="AR39" s="188">
        <f t="shared" si="14"/>
        <v>0.92549857439446659</v>
      </c>
    </row>
    <row r="40" spans="1:44" s="77" customFormat="1" ht="12.75" x14ac:dyDescent="0.2">
      <c r="A40" s="83" t="s">
        <v>135</v>
      </c>
      <c r="B40" s="76"/>
      <c r="D40" s="73"/>
      <c r="E40" s="76"/>
      <c r="F40" s="111"/>
      <c r="G40" s="110"/>
      <c r="I40" s="73"/>
      <c r="J40" s="73"/>
      <c r="K40" s="83" t="s">
        <v>132</v>
      </c>
      <c r="L40" s="157"/>
      <c r="M40" s="156"/>
      <c r="N40" s="156"/>
      <c r="O40" s="156"/>
      <c r="P40" s="156"/>
      <c r="Q40" s="156"/>
      <c r="R40" s="156"/>
      <c r="S40" s="156"/>
      <c r="T40" s="156"/>
      <c r="U40" s="157"/>
      <c r="V40" s="88"/>
      <c r="W40" s="88">
        <v>21</v>
      </c>
      <c r="X40" s="178">
        <f t="shared" si="15"/>
        <v>2.4000000000000012</v>
      </c>
      <c r="Y40" s="84">
        <f t="shared" ref="Y40:Y49" si="18">X40+$X$11</f>
        <v>2.5200000000000014</v>
      </c>
      <c r="Z40" s="84">
        <f t="shared" ref="Z40:Z49" si="19">(X40+Y40)/2</f>
        <v>2.4600000000000013</v>
      </c>
      <c r="AA40" s="178">
        <f t="shared" si="2"/>
        <v>1.5050000000000001</v>
      </c>
      <c r="AB40" s="178">
        <f t="shared" ref="AB40:AB49" si="20">$AB$11*Z40+$AB$12</f>
        <v>0.56833333333333336</v>
      </c>
      <c r="AC40" s="178">
        <f t="shared" si="4"/>
        <v>6.8200000000000011E-2</v>
      </c>
      <c r="AD40" s="181">
        <f t="shared" ref="AD40:AD49" si="21">(AA40-AB40)*$X$11</f>
        <v>0.11240000000000001</v>
      </c>
      <c r="AE40" s="182">
        <f t="shared" si="6"/>
        <v>6.8200000000000011E-2</v>
      </c>
      <c r="AF40" s="162">
        <f t="shared" si="7"/>
        <v>5.6200000000000007E-2</v>
      </c>
      <c r="AG40" s="181">
        <f t="shared" si="8"/>
        <v>0.12440000000000001</v>
      </c>
      <c r="AH40" s="180">
        <f t="shared" si="9"/>
        <v>9.8890000000000033E-2</v>
      </c>
      <c r="AI40" s="180">
        <f t="shared" si="9"/>
        <v>8.1490000000000021E-2</v>
      </c>
      <c r="AJ40" s="180">
        <f t="shared" si="9"/>
        <v>0.18038000000000004</v>
      </c>
      <c r="AK40" s="183">
        <f t="shared" si="16"/>
        <v>2.8101241666666676E-2</v>
      </c>
      <c r="AL40" s="183">
        <f t="shared" si="17"/>
        <v>-2.5442988888888896E-2</v>
      </c>
      <c r="AM40" s="186">
        <f t="shared" si="10"/>
        <v>2.6582527777777795E-3</v>
      </c>
      <c r="AN40" s="180">
        <f>SUM($AM$19:AM40)</f>
        <v>6.1732863888888885E-2</v>
      </c>
      <c r="AO40" s="181">
        <f t="shared" si="11"/>
        <v>7.44588667128028</v>
      </c>
      <c r="AP40" s="181">
        <f t="shared" si="12"/>
        <v>0.10972973127258756</v>
      </c>
      <c r="AQ40" s="188">
        <f t="shared" si="13"/>
        <v>62.049055594002326</v>
      </c>
      <c r="AR40" s="188">
        <f t="shared" si="14"/>
        <v>0.91441442727156297</v>
      </c>
    </row>
    <row r="41" spans="1:44" s="77" customFormat="1" ht="12.75" x14ac:dyDescent="0.2">
      <c r="A41" s="83" t="s">
        <v>133</v>
      </c>
      <c r="B41" s="80"/>
      <c r="C41" s="95"/>
      <c r="D41" s="110"/>
      <c r="E41" s="80"/>
      <c r="F41" s="104"/>
      <c r="G41" s="73"/>
      <c r="I41" s="73"/>
      <c r="J41" s="73"/>
      <c r="K41" s="83" t="s">
        <v>133</v>
      </c>
      <c r="L41" s="157"/>
      <c r="M41" s="156"/>
      <c r="N41" s="156"/>
      <c r="O41" s="156"/>
      <c r="P41" s="156"/>
      <c r="Q41" s="156"/>
      <c r="R41" s="156"/>
      <c r="S41" s="156"/>
      <c r="T41" s="156"/>
      <c r="U41" s="157"/>
      <c r="V41" s="88"/>
      <c r="W41" s="88">
        <v>22</v>
      </c>
      <c r="X41" s="178">
        <f t="shared" si="15"/>
        <v>2.5200000000000014</v>
      </c>
      <c r="Y41" s="84">
        <f t="shared" si="18"/>
        <v>2.6400000000000015</v>
      </c>
      <c r="Z41" s="84">
        <f t="shared" si="19"/>
        <v>2.5800000000000014</v>
      </c>
      <c r="AA41" s="178">
        <f t="shared" si="2"/>
        <v>1.5150000000000001</v>
      </c>
      <c r="AB41" s="178">
        <f t="shared" si="20"/>
        <v>0.57166666666666666</v>
      </c>
      <c r="AC41" s="178">
        <f t="shared" si="4"/>
        <v>6.8600000000000008E-2</v>
      </c>
      <c r="AD41" s="181">
        <f t="shared" si="21"/>
        <v>0.11320000000000002</v>
      </c>
      <c r="AE41" s="182">
        <f t="shared" si="6"/>
        <v>6.8600000000000008E-2</v>
      </c>
      <c r="AF41" s="162">
        <f t="shared" si="7"/>
        <v>5.6600000000000011E-2</v>
      </c>
      <c r="AG41" s="181">
        <f t="shared" si="8"/>
        <v>0.12520000000000003</v>
      </c>
      <c r="AH41" s="180">
        <f t="shared" si="9"/>
        <v>9.9470000000000031E-2</v>
      </c>
      <c r="AI41" s="180">
        <f t="shared" si="9"/>
        <v>8.2070000000000032E-2</v>
      </c>
      <c r="AJ41" s="180">
        <f t="shared" si="9"/>
        <v>0.18154000000000006</v>
      </c>
      <c r="AK41" s="183">
        <f t="shared" si="16"/>
        <v>2.8431841666666676E-2</v>
      </c>
      <c r="AL41" s="183">
        <f t="shared" si="17"/>
        <v>-2.5806455555555569E-2</v>
      </c>
      <c r="AM41" s="186">
        <f t="shared" si="10"/>
        <v>2.6253861111111068E-3</v>
      </c>
      <c r="AN41" s="180">
        <f>SUM($AM$19:AM41)</f>
        <v>6.4358249999999992E-2</v>
      </c>
      <c r="AO41" s="181">
        <f t="shared" si="11"/>
        <v>7.493770186851215</v>
      </c>
      <c r="AP41" s="181">
        <f t="shared" si="12"/>
        <v>0.10837303166474417</v>
      </c>
      <c r="AQ41" s="188">
        <f t="shared" si="13"/>
        <v>62.448084890426784</v>
      </c>
      <c r="AR41" s="188">
        <f t="shared" si="14"/>
        <v>0.9031085972062014</v>
      </c>
    </row>
    <row r="42" spans="1:44" s="77" customFormat="1" ht="12.75" x14ac:dyDescent="0.2">
      <c r="A42" s="171" t="s">
        <v>134</v>
      </c>
      <c r="F42" s="104"/>
      <c r="G42" s="73"/>
      <c r="I42" s="73"/>
      <c r="J42" s="73"/>
      <c r="K42" s="171" t="s">
        <v>134</v>
      </c>
      <c r="L42" s="157"/>
      <c r="M42" s="156"/>
      <c r="N42" s="156"/>
      <c r="O42" s="156"/>
      <c r="P42" s="156"/>
      <c r="Q42" s="156"/>
      <c r="R42" s="156"/>
      <c r="S42" s="156"/>
      <c r="T42" s="156"/>
      <c r="U42" s="157"/>
      <c r="V42" s="88"/>
      <c r="W42" s="88">
        <v>23</v>
      </c>
      <c r="X42" s="178">
        <f t="shared" si="15"/>
        <v>2.6400000000000015</v>
      </c>
      <c r="Y42" s="84">
        <f t="shared" si="18"/>
        <v>2.7600000000000016</v>
      </c>
      <c r="Z42" s="84">
        <f t="shared" si="19"/>
        <v>2.7000000000000015</v>
      </c>
      <c r="AA42" s="178">
        <f t="shared" si="2"/>
        <v>1.5250000000000001</v>
      </c>
      <c r="AB42" s="178">
        <f t="shared" si="20"/>
        <v>0.57500000000000007</v>
      </c>
      <c r="AC42" s="178">
        <f t="shared" si="4"/>
        <v>6.900000000000002E-2</v>
      </c>
      <c r="AD42" s="181">
        <f t="shared" si="21"/>
        <v>0.11400000000000002</v>
      </c>
      <c r="AE42" s="182">
        <f t="shared" si="6"/>
        <v>6.900000000000002E-2</v>
      </c>
      <c r="AF42" s="162">
        <f t="shared" si="7"/>
        <v>5.7000000000000009E-2</v>
      </c>
      <c r="AG42" s="181">
        <f t="shared" si="8"/>
        <v>0.12600000000000003</v>
      </c>
      <c r="AH42" s="180">
        <f t="shared" si="9"/>
        <v>0.10005000000000004</v>
      </c>
      <c r="AI42" s="180">
        <f t="shared" si="9"/>
        <v>8.2650000000000029E-2</v>
      </c>
      <c r="AJ42" s="180">
        <f t="shared" si="9"/>
        <v>0.18270000000000006</v>
      </c>
      <c r="AK42" s="183">
        <f t="shared" si="16"/>
        <v>2.8764375000000016E-2</v>
      </c>
      <c r="AL42" s="183">
        <f t="shared" si="17"/>
        <v>-2.6172500000000012E-2</v>
      </c>
      <c r="AM42" s="186">
        <f t="shared" si="10"/>
        <v>2.5918750000000039E-3</v>
      </c>
      <c r="AN42" s="180">
        <f>SUM($AM$19:AM42)</f>
        <v>6.6950124999999999E-2</v>
      </c>
      <c r="AO42" s="181">
        <f t="shared" si="11"/>
        <v>7.5416537024221491</v>
      </c>
      <c r="AP42" s="181">
        <f t="shared" si="12"/>
        <v>0.10698973010380641</v>
      </c>
      <c r="AQ42" s="188">
        <f t="shared" si="13"/>
        <v>62.847114186851236</v>
      </c>
      <c r="AR42" s="188">
        <f t="shared" si="14"/>
        <v>0.89158108419838666</v>
      </c>
    </row>
    <row r="43" spans="1:44" s="77" customFormat="1" ht="12.75" x14ac:dyDescent="0.2">
      <c r="A43" s="172">
        <v>1.3</v>
      </c>
      <c r="B43" s="76"/>
      <c r="D43" s="73"/>
      <c r="E43" s="76"/>
      <c r="F43" s="104"/>
      <c r="G43" s="110"/>
      <c r="I43" s="73"/>
      <c r="J43" s="87"/>
      <c r="K43" s="172">
        <v>1.6</v>
      </c>
      <c r="L43" s="157"/>
      <c r="M43" s="156"/>
      <c r="N43" s="156"/>
      <c r="O43" s="156"/>
      <c r="P43" s="156"/>
      <c r="Q43" s="156"/>
      <c r="R43" s="156"/>
      <c r="S43" s="156"/>
      <c r="T43" s="156"/>
      <c r="U43" s="157"/>
      <c r="V43" s="88"/>
      <c r="W43" s="88">
        <v>24</v>
      </c>
      <c r="X43" s="178">
        <f t="shared" si="15"/>
        <v>2.7600000000000016</v>
      </c>
      <c r="Y43" s="84">
        <f t="shared" si="18"/>
        <v>2.8800000000000017</v>
      </c>
      <c r="Z43" s="84">
        <f t="shared" si="19"/>
        <v>2.8200000000000016</v>
      </c>
      <c r="AA43" s="178">
        <f t="shared" si="2"/>
        <v>1.5350000000000001</v>
      </c>
      <c r="AB43" s="178">
        <f t="shared" si="20"/>
        <v>0.57833333333333337</v>
      </c>
      <c r="AC43" s="178">
        <f t="shared" si="4"/>
        <v>6.9400000000000003E-2</v>
      </c>
      <c r="AD43" s="181">
        <f t="shared" si="21"/>
        <v>0.11480000000000003</v>
      </c>
      <c r="AE43" s="182">
        <f t="shared" si="6"/>
        <v>6.9400000000000003E-2</v>
      </c>
      <c r="AF43" s="162">
        <f t="shared" si="7"/>
        <v>5.7400000000000014E-2</v>
      </c>
      <c r="AG43" s="181">
        <f t="shared" si="8"/>
        <v>0.12680000000000002</v>
      </c>
      <c r="AH43" s="180">
        <f t="shared" si="9"/>
        <v>0.10063000000000001</v>
      </c>
      <c r="AI43" s="180">
        <f t="shared" si="9"/>
        <v>8.3230000000000026E-2</v>
      </c>
      <c r="AJ43" s="180">
        <f t="shared" si="9"/>
        <v>0.18386000000000005</v>
      </c>
      <c r="AK43" s="183">
        <f t="shared" si="16"/>
        <v>2.909884166666667E-2</v>
      </c>
      <c r="AL43" s="183">
        <f t="shared" si="17"/>
        <v>-2.6541122222222234E-2</v>
      </c>
      <c r="AM43" s="186">
        <f t="shared" si="10"/>
        <v>2.5577194444444361E-3</v>
      </c>
      <c r="AN43" s="180">
        <f>SUM($AM$19:AM43)</f>
        <v>6.9507844444444439E-2</v>
      </c>
      <c r="AO43" s="181">
        <f t="shared" si="11"/>
        <v>7.5895372179930831</v>
      </c>
      <c r="AP43" s="181">
        <f t="shared" si="12"/>
        <v>0.10557982658977284</v>
      </c>
      <c r="AQ43" s="188">
        <f t="shared" si="13"/>
        <v>63.246143483275688</v>
      </c>
      <c r="AR43" s="188">
        <f t="shared" si="14"/>
        <v>0.87983188824810699</v>
      </c>
    </row>
    <row r="44" spans="1:44" s="77" customFormat="1" ht="12.75" x14ac:dyDescent="0.2">
      <c r="A44" s="171" t="s">
        <v>136</v>
      </c>
      <c r="B44" s="80"/>
      <c r="C44" s="95"/>
      <c r="D44" s="110"/>
      <c r="E44" s="109"/>
      <c r="F44" s="104" t="s">
        <v>135</v>
      </c>
      <c r="G44" s="73"/>
      <c r="I44" s="73"/>
      <c r="J44" s="73"/>
      <c r="K44" s="171" t="s">
        <v>136</v>
      </c>
      <c r="L44" s="157"/>
      <c r="M44" s="156"/>
      <c r="N44" s="156"/>
      <c r="O44" s="156"/>
      <c r="P44" s="156"/>
      <c r="Q44" s="156"/>
      <c r="R44" s="156"/>
      <c r="S44" s="156"/>
      <c r="T44" s="156"/>
      <c r="U44" s="157"/>
      <c r="V44" s="88"/>
      <c r="W44" s="88">
        <v>25</v>
      </c>
      <c r="X44" s="178">
        <f t="shared" si="15"/>
        <v>2.8800000000000017</v>
      </c>
      <c r="Y44" s="84">
        <f t="shared" si="18"/>
        <v>3.0000000000000018</v>
      </c>
      <c r="Z44" s="84">
        <f t="shared" si="19"/>
        <v>2.9400000000000017</v>
      </c>
      <c r="AA44" s="178">
        <f t="shared" si="2"/>
        <v>1.5450000000000002</v>
      </c>
      <c r="AB44" s="178">
        <f t="shared" si="20"/>
        <v>0.58166666666666667</v>
      </c>
      <c r="AC44" s="178">
        <f t="shared" si="4"/>
        <v>6.9800000000000001E-2</v>
      </c>
      <c r="AD44" s="181">
        <f t="shared" si="21"/>
        <v>0.11560000000000002</v>
      </c>
      <c r="AE44" s="182">
        <f t="shared" si="6"/>
        <v>6.9800000000000001E-2</v>
      </c>
      <c r="AF44" s="162">
        <f t="shared" si="7"/>
        <v>5.7800000000000011E-2</v>
      </c>
      <c r="AG44" s="181">
        <f t="shared" si="8"/>
        <v>0.12760000000000002</v>
      </c>
      <c r="AH44" s="180">
        <f t="shared" si="9"/>
        <v>0.10121000000000001</v>
      </c>
      <c r="AI44" s="180">
        <f t="shared" si="9"/>
        <v>8.3810000000000023E-2</v>
      </c>
      <c r="AJ44" s="180">
        <f t="shared" si="9"/>
        <v>0.18502000000000005</v>
      </c>
      <c r="AK44" s="183">
        <f t="shared" si="16"/>
        <v>2.9435241666666671E-2</v>
      </c>
      <c r="AL44" s="183">
        <f t="shared" si="17"/>
        <v>-2.6912322222222236E-2</v>
      </c>
      <c r="AM44" s="186">
        <f t="shared" si="10"/>
        <v>2.5229194444444346E-3</v>
      </c>
      <c r="AN44" s="180">
        <f>SUM($AM$19:AM44)</f>
        <v>7.2030763888888877E-2</v>
      </c>
      <c r="AO44" s="181">
        <f t="shared" si="11"/>
        <v>7.6374207335640172</v>
      </c>
      <c r="AP44" s="181">
        <f t="shared" si="12"/>
        <v>0.10414332112264475</v>
      </c>
      <c r="AQ44" s="188">
        <f t="shared" si="13"/>
        <v>63.64517277970014</v>
      </c>
      <c r="AR44" s="188">
        <f t="shared" si="14"/>
        <v>0.86786100935537291</v>
      </c>
    </row>
    <row r="45" spans="1:44" s="77" customFormat="1" ht="12.75" x14ac:dyDescent="0.2">
      <c r="A45" s="73"/>
      <c r="F45" s="104"/>
      <c r="G45" s="73"/>
      <c r="I45" s="73"/>
      <c r="J45" s="83"/>
      <c r="K45" s="73"/>
      <c r="L45" s="157"/>
      <c r="M45" s="156"/>
      <c r="N45" s="156"/>
      <c r="O45" s="156"/>
      <c r="P45" s="156"/>
      <c r="Q45" s="156"/>
      <c r="R45" s="156"/>
      <c r="S45" s="156"/>
      <c r="T45" s="156"/>
      <c r="U45" s="157"/>
      <c r="V45" s="88"/>
      <c r="W45" s="88">
        <v>26</v>
      </c>
      <c r="X45" s="178">
        <f t="shared" si="15"/>
        <v>3.0000000000000018</v>
      </c>
      <c r="Y45" s="84">
        <f t="shared" si="18"/>
        <v>3.1200000000000019</v>
      </c>
      <c r="Z45" s="84">
        <f t="shared" si="19"/>
        <v>3.0600000000000018</v>
      </c>
      <c r="AA45" s="178">
        <f t="shared" si="2"/>
        <v>1.5550000000000002</v>
      </c>
      <c r="AB45" s="178">
        <f t="shared" si="20"/>
        <v>0.58499999999999996</v>
      </c>
      <c r="AC45" s="178">
        <f t="shared" si="4"/>
        <v>7.0199999999999999E-2</v>
      </c>
      <c r="AD45" s="181">
        <f t="shared" si="21"/>
        <v>0.11640000000000003</v>
      </c>
      <c r="AE45" s="182">
        <f t="shared" si="6"/>
        <v>7.0199999999999999E-2</v>
      </c>
      <c r="AF45" s="162">
        <f t="shared" si="7"/>
        <v>5.8200000000000016E-2</v>
      </c>
      <c r="AG45" s="181">
        <f t="shared" si="8"/>
        <v>0.12840000000000001</v>
      </c>
      <c r="AH45" s="180">
        <f t="shared" si="9"/>
        <v>0.10179000000000001</v>
      </c>
      <c r="AI45" s="180">
        <f t="shared" si="9"/>
        <v>8.4390000000000034E-2</v>
      </c>
      <c r="AJ45" s="180">
        <f t="shared" si="9"/>
        <v>0.18618000000000004</v>
      </c>
      <c r="AK45" s="183">
        <f t="shared" si="16"/>
        <v>2.9773575E-2</v>
      </c>
      <c r="AL45" s="183">
        <f t="shared" si="17"/>
        <v>-2.7286100000000018E-2</v>
      </c>
      <c r="AM45" s="186">
        <f t="shared" si="10"/>
        <v>2.4874749999999821E-3</v>
      </c>
      <c r="AN45" s="180">
        <f>SUM($AM$19:AM45)</f>
        <v>7.4518238888888866E-2</v>
      </c>
      <c r="AO45" s="181">
        <f t="shared" si="11"/>
        <v>7.6853042491349512</v>
      </c>
      <c r="AP45" s="181">
        <f t="shared" si="12"/>
        <v>0.10268021370242142</v>
      </c>
      <c r="AQ45" s="188">
        <f t="shared" si="13"/>
        <v>64.044202076124591</v>
      </c>
      <c r="AR45" s="188">
        <f t="shared" si="14"/>
        <v>0.85566844752017845</v>
      </c>
    </row>
    <row r="46" spans="1:44" s="77" customFormat="1" ht="12.75" x14ac:dyDescent="0.2">
      <c r="A46" s="80"/>
      <c r="B46" s="76"/>
      <c r="D46" s="73"/>
      <c r="E46" s="76"/>
      <c r="F46" s="104"/>
      <c r="G46" s="110"/>
      <c r="I46" s="76"/>
      <c r="J46" s="113"/>
      <c r="K46" s="73"/>
      <c r="L46" s="157"/>
      <c r="M46" s="156"/>
      <c r="N46" s="156"/>
      <c r="O46" s="156"/>
      <c r="P46" s="156"/>
      <c r="Q46" s="156"/>
      <c r="R46" s="156"/>
      <c r="S46" s="156"/>
      <c r="T46" s="156"/>
      <c r="U46" s="157"/>
      <c r="V46" s="88"/>
      <c r="W46" s="88">
        <v>27</v>
      </c>
      <c r="X46" s="178">
        <f t="shared" si="15"/>
        <v>3.1200000000000019</v>
      </c>
      <c r="Y46" s="84">
        <f t="shared" si="18"/>
        <v>3.240000000000002</v>
      </c>
      <c r="Z46" s="84">
        <f t="shared" si="19"/>
        <v>3.1800000000000019</v>
      </c>
      <c r="AA46" s="178">
        <f t="shared" si="2"/>
        <v>1.5650000000000002</v>
      </c>
      <c r="AB46" s="178">
        <f t="shared" si="20"/>
        <v>0.58833333333333337</v>
      </c>
      <c r="AC46" s="178">
        <f t="shared" si="4"/>
        <v>7.060000000000001E-2</v>
      </c>
      <c r="AD46" s="181">
        <f t="shared" si="21"/>
        <v>0.11720000000000003</v>
      </c>
      <c r="AE46" s="182">
        <f t="shared" si="6"/>
        <v>7.060000000000001E-2</v>
      </c>
      <c r="AF46" s="162">
        <f t="shared" si="7"/>
        <v>5.8600000000000013E-2</v>
      </c>
      <c r="AG46" s="181">
        <f t="shared" si="8"/>
        <v>0.12920000000000004</v>
      </c>
      <c r="AH46" s="180">
        <f t="shared" si="9"/>
        <v>0.10237000000000003</v>
      </c>
      <c r="AI46" s="180">
        <f t="shared" si="9"/>
        <v>8.4970000000000032E-2</v>
      </c>
      <c r="AJ46" s="180">
        <f t="shared" si="9"/>
        <v>0.18734000000000009</v>
      </c>
      <c r="AK46" s="183">
        <f t="shared" si="16"/>
        <v>3.0113841666666679E-2</v>
      </c>
      <c r="AL46" s="183">
        <f t="shared" si="17"/>
        <v>-2.7662455555555569E-2</v>
      </c>
      <c r="AM46" s="186">
        <f t="shared" si="10"/>
        <v>2.4513861111111097E-3</v>
      </c>
      <c r="AN46" s="180">
        <f>SUM($AM$19:AM46)</f>
        <v>7.6969624999999972E-2</v>
      </c>
      <c r="AO46" s="181">
        <f t="shared" si="11"/>
        <v>7.7331877647058871</v>
      </c>
      <c r="AP46" s="181">
        <f t="shared" si="12"/>
        <v>0.10119050432910415</v>
      </c>
      <c r="AQ46" s="188">
        <f t="shared" si="13"/>
        <v>64.44323137254905</v>
      </c>
      <c r="AR46" s="188">
        <f t="shared" si="14"/>
        <v>0.84325420274253449</v>
      </c>
    </row>
    <row r="47" spans="1:44" s="77" customFormat="1" ht="12.75" x14ac:dyDescent="0.2">
      <c r="A47" s="73"/>
      <c r="B47" s="80"/>
      <c r="C47" s="95"/>
      <c r="D47" s="110"/>
      <c r="E47" s="76"/>
      <c r="F47" s="111"/>
      <c r="I47" s="73"/>
      <c r="J47" s="73"/>
      <c r="K47" s="73"/>
      <c r="L47" s="157"/>
      <c r="M47" s="156"/>
      <c r="N47" s="156"/>
      <c r="O47" s="156"/>
      <c r="P47" s="156"/>
      <c r="Q47" s="156"/>
      <c r="R47" s="156"/>
      <c r="S47" s="156"/>
      <c r="T47" s="156"/>
      <c r="U47" s="157"/>
      <c r="V47" s="88"/>
      <c r="W47" s="88">
        <v>28</v>
      </c>
      <c r="X47" s="178">
        <f t="shared" si="15"/>
        <v>3.240000000000002</v>
      </c>
      <c r="Y47" s="84">
        <f t="shared" si="18"/>
        <v>3.3600000000000021</v>
      </c>
      <c r="Z47" s="84">
        <f t="shared" si="19"/>
        <v>3.300000000000002</v>
      </c>
      <c r="AA47" s="178">
        <f t="shared" si="2"/>
        <v>1.5750000000000002</v>
      </c>
      <c r="AB47" s="178">
        <f t="shared" si="20"/>
        <v>0.59166666666666667</v>
      </c>
      <c r="AC47" s="178">
        <f t="shared" si="4"/>
        <v>7.1000000000000008E-2</v>
      </c>
      <c r="AD47" s="181">
        <f t="shared" si="21"/>
        <v>0.11800000000000004</v>
      </c>
      <c r="AE47" s="182">
        <f t="shared" si="6"/>
        <v>7.1000000000000008E-2</v>
      </c>
      <c r="AF47" s="162">
        <f t="shared" si="7"/>
        <v>5.9000000000000018E-2</v>
      </c>
      <c r="AG47" s="181">
        <f t="shared" si="8"/>
        <v>0.13000000000000003</v>
      </c>
      <c r="AH47" s="180">
        <f t="shared" si="9"/>
        <v>0.10295000000000003</v>
      </c>
      <c r="AI47" s="180">
        <f t="shared" si="9"/>
        <v>8.5550000000000043E-2</v>
      </c>
      <c r="AJ47" s="180">
        <f t="shared" si="9"/>
        <v>0.18850000000000006</v>
      </c>
      <c r="AK47" s="183">
        <f t="shared" si="16"/>
        <v>3.0456041666666676E-2</v>
      </c>
      <c r="AL47" s="183">
        <f t="shared" si="17"/>
        <v>-2.8041388888888907E-2</v>
      </c>
      <c r="AM47" s="186">
        <f t="shared" si="10"/>
        <v>2.414652777777769E-3</v>
      </c>
      <c r="AN47" s="180">
        <f>SUM($AM$19:AM47)</f>
        <v>7.9384277777777734E-2</v>
      </c>
      <c r="AO47" s="181">
        <f t="shared" si="11"/>
        <v>7.7810712802768203</v>
      </c>
      <c r="AP47" s="181">
        <f t="shared" si="12"/>
        <v>9.9674193002690925E-2</v>
      </c>
      <c r="AQ47" s="188">
        <f t="shared" si="13"/>
        <v>64.842260668973495</v>
      </c>
      <c r="AR47" s="188">
        <f t="shared" si="14"/>
        <v>0.83061827502242436</v>
      </c>
    </row>
    <row r="48" spans="1:44" s="77" customFormat="1" ht="12.75" x14ac:dyDescent="0.2">
      <c r="A48" s="73"/>
      <c r="I48" s="73"/>
      <c r="J48" s="73"/>
      <c r="K48" s="73"/>
      <c r="L48" s="157"/>
      <c r="M48" s="156"/>
      <c r="N48" s="156"/>
      <c r="O48" s="156"/>
      <c r="P48" s="156"/>
      <c r="Q48" s="156"/>
      <c r="R48" s="156"/>
      <c r="S48" s="156"/>
      <c r="T48" s="156"/>
      <c r="U48" s="157"/>
      <c r="V48" s="88"/>
      <c r="W48" s="88">
        <v>29</v>
      </c>
      <c r="X48" s="178">
        <f t="shared" si="15"/>
        <v>3.3600000000000021</v>
      </c>
      <c r="Y48" s="84">
        <f t="shared" si="18"/>
        <v>3.4800000000000022</v>
      </c>
      <c r="Z48" s="84">
        <f t="shared" si="19"/>
        <v>3.4200000000000021</v>
      </c>
      <c r="AA48" s="178">
        <f t="shared" si="2"/>
        <v>1.5850000000000002</v>
      </c>
      <c r="AB48" s="178">
        <f t="shared" si="20"/>
        <v>0.59499999999999997</v>
      </c>
      <c r="AC48" s="178">
        <f t="shared" si="4"/>
        <v>7.1400000000000005E-2</v>
      </c>
      <c r="AD48" s="181">
        <f t="shared" si="21"/>
        <v>0.11880000000000003</v>
      </c>
      <c r="AE48" s="182">
        <f t="shared" si="6"/>
        <v>7.1400000000000005E-2</v>
      </c>
      <c r="AF48" s="162">
        <f t="shared" si="7"/>
        <v>5.9400000000000015E-2</v>
      </c>
      <c r="AG48" s="181">
        <f t="shared" si="8"/>
        <v>0.13080000000000003</v>
      </c>
      <c r="AH48" s="180">
        <f t="shared" si="9"/>
        <v>0.10353000000000002</v>
      </c>
      <c r="AI48" s="180">
        <f t="shared" si="9"/>
        <v>8.6130000000000026E-2</v>
      </c>
      <c r="AJ48" s="180">
        <f t="shared" si="9"/>
        <v>0.18966000000000005</v>
      </c>
      <c r="AK48" s="183">
        <f t="shared" si="16"/>
        <v>3.0800175000000006E-2</v>
      </c>
      <c r="AL48" s="183">
        <f t="shared" si="17"/>
        <v>-2.8422900000000015E-2</v>
      </c>
      <c r="AM48" s="186">
        <f t="shared" si="10"/>
        <v>2.3772749999999912E-3</v>
      </c>
      <c r="AN48" s="180">
        <f>SUM($AM$19:AM48)</f>
        <v>8.1761552777777718E-2</v>
      </c>
      <c r="AO48" s="181">
        <f t="shared" si="11"/>
        <v>7.8289547958477543</v>
      </c>
      <c r="AP48" s="181">
        <f t="shared" si="12"/>
        <v>9.8131279723183043E-2</v>
      </c>
      <c r="AQ48" s="188">
        <f t="shared" si="13"/>
        <v>65.241289965397954</v>
      </c>
      <c r="AR48" s="188">
        <f t="shared" si="14"/>
        <v>0.81776066435985861</v>
      </c>
    </row>
    <row r="49" spans="1:44" s="77" customFormat="1" ht="12.75" x14ac:dyDescent="0.2">
      <c r="A49" s="80"/>
      <c r="B49" s="92"/>
      <c r="D49" s="88"/>
      <c r="E49" s="80" t="s">
        <v>140</v>
      </c>
      <c r="F49" s="174">
        <v>3.6</v>
      </c>
      <c r="G49" s="73" t="s">
        <v>136</v>
      </c>
      <c r="I49" s="73"/>
      <c r="J49" s="73"/>
      <c r="K49" s="73"/>
      <c r="L49" s="157"/>
      <c r="M49" s="156"/>
      <c r="N49" s="156"/>
      <c r="O49" s="156"/>
      <c r="P49" s="156"/>
      <c r="Q49" s="156"/>
      <c r="R49" s="156"/>
      <c r="S49" s="156"/>
      <c r="T49" s="156"/>
      <c r="U49" s="157"/>
      <c r="V49" s="88"/>
      <c r="W49" s="88">
        <v>30</v>
      </c>
      <c r="X49" s="178">
        <f t="shared" si="15"/>
        <v>3.4800000000000022</v>
      </c>
      <c r="Y49" s="84">
        <f t="shared" si="18"/>
        <v>3.6000000000000023</v>
      </c>
      <c r="Z49" s="84">
        <f t="shared" si="19"/>
        <v>3.5400000000000023</v>
      </c>
      <c r="AA49" s="178">
        <f t="shared" si="2"/>
        <v>1.5950000000000002</v>
      </c>
      <c r="AB49" s="178">
        <f t="shared" si="20"/>
        <v>0.59833333333333338</v>
      </c>
      <c r="AC49" s="178">
        <f t="shared" si="4"/>
        <v>7.1800000000000017E-2</v>
      </c>
      <c r="AD49" s="181">
        <f t="shared" si="21"/>
        <v>0.11960000000000003</v>
      </c>
      <c r="AE49" s="182">
        <f t="shared" si="6"/>
        <v>7.1800000000000017E-2</v>
      </c>
      <c r="AF49" s="162">
        <f t="shared" si="7"/>
        <v>5.9800000000000013E-2</v>
      </c>
      <c r="AG49" s="181">
        <f t="shared" si="8"/>
        <v>0.13160000000000002</v>
      </c>
      <c r="AH49" s="180">
        <f t="shared" si="9"/>
        <v>0.10411000000000004</v>
      </c>
      <c r="AI49" s="180">
        <f t="shared" si="9"/>
        <v>8.6710000000000023E-2</v>
      </c>
      <c r="AJ49" s="180">
        <f t="shared" si="9"/>
        <v>0.19082000000000005</v>
      </c>
      <c r="AK49" s="183">
        <f t="shared" si="16"/>
        <v>3.1146241666666678E-2</v>
      </c>
      <c r="AL49" s="183">
        <f t="shared" si="17"/>
        <v>-2.8806988888888899E-2</v>
      </c>
      <c r="AM49" s="186">
        <f t="shared" si="10"/>
        <v>2.3392527777777797E-3</v>
      </c>
      <c r="AN49" s="180">
        <f>SUM($AM$19:AM49)</f>
        <v>8.4100805555555491E-2</v>
      </c>
      <c r="AO49" s="181">
        <f t="shared" si="11"/>
        <v>7.8768383114186884</v>
      </c>
      <c r="AP49" s="181">
        <f t="shared" si="12"/>
        <v>9.656176449058064E-2</v>
      </c>
      <c r="AQ49" s="188">
        <f t="shared" si="13"/>
        <v>65.640319261822398</v>
      </c>
      <c r="AR49" s="188">
        <f t="shared" si="14"/>
        <v>0.80468137075483859</v>
      </c>
    </row>
    <row r="50" spans="1:44" s="77" customFormat="1" ht="12.75" x14ac:dyDescent="0.2">
      <c r="A50" s="73"/>
      <c r="B50" s="80"/>
      <c r="C50" s="95"/>
      <c r="D50" s="110"/>
      <c r="E50" s="76"/>
      <c r="F50" s="96"/>
      <c r="I50" s="97"/>
      <c r="J50" s="73"/>
      <c r="K50" s="73"/>
      <c r="L50" s="157"/>
      <c r="M50" s="156"/>
      <c r="N50" s="156"/>
      <c r="O50" s="156"/>
      <c r="P50" s="156"/>
      <c r="Q50" s="156"/>
      <c r="R50" s="156"/>
      <c r="S50" s="156"/>
      <c r="T50" s="156"/>
      <c r="U50" s="157"/>
      <c r="V50" s="88"/>
      <c r="W50" s="88"/>
      <c r="X50" s="157"/>
      <c r="Y50" s="83"/>
      <c r="Z50" s="160"/>
      <c r="AA50" s="165"/>
      <c r="AB50" s="160"/>
      <c r="AC50" s="83"/>
      <c r="AD50" s="83"/>
      <c r="AE50" s="83"/>
      <c r="AF50" s="83"/>
      <c r="AI50" s="83"/>
      <c r="AJ50" s="83"/>
      <c r="AK50" s="73"/>
    </row>
    <row r="51" spans="1:44" s="77" customFormat="1" ht="12.75" x14ac:dyDescent="0.2">
      <c r="A51" s="73"/>
      <c r="C51" s="109" t="s">
        <v>141</v>
      </c>
      <c r="D51" s="77" t="str">
        <f>[1]!xln(D52)</f>
        <v>3.6 × (1.6 + 1.3) / 2</v>
      </c>
      <c r="E51" s="73"/>
      <c r="F51" s="73"/>
      <c r="G51" s="73"/>
      <c r="H51" s="73"/>
      <c r="I51" s="73"/>
      <c r="J51" s="73"/>
      <c r="K51" s="73"/>
      <c r="L51" s="157"/>
      <c r="M51" s="156"/>
      <c r="N51" s="156"/>
      <c r="O51" s="156"/>
      <c r="P51" s="156"/>
      <c r="Q51" s="156"/>
      <c r="R51" s="156"/>
      <c r="S51" s="156"/>
      <c r="T51" s="156"/>
      <c r="U51" s="157"/>
      <c r="V51" s="88"/>
      <c r="W51" s="88"/>
      <c r="X51" s="157"/>
      <c r="Y51" s="83"/>
      <c r="Z51" s="73"/>
      <c r="AA51" s="164"/>
      <c r="AB51" s="76" t="s">
        <v>163</v>
      </c>
      <c r="AC51" s="84">
        <f>SUM(AC20:AC49)</f>
        <v>1.98</v>
      </c>
      <c r="AD51" s="84">
        <f>SUM(AD20:AD49)</f>
        <v>3.2400000000000007</v>
      </c>
      <c r="AE51" s="83"/>
      <c r="AF51" s="83"/>
      <c r="AG51" s="184">
        <f>SUM(AG20:AG49)</f>
        <v>3.6</v>
      </c>
      <c r="AH51" s="184"/>
      <c r="AI51" s="73"/>
      <c r="AJ51" s="184">
        <f>SUM(AJ20:AJ49)</f>
        <v>5.2200000000000015</v>
      </c>
      <c r="AM51" s="184">
        <f>SUM(AM20:AM49)</f>
        <v>8.4100805555555491E-2</v>
      </c>
      <c r="AO51" s="184">
        <f>SUM(AO20:AO49)</f>
        <v>215.47582006920422</v>
      </c>
      <c r="AP51" s="184">
        <f>SUM(AP20:AP49)</f>
        <v>3.4715881313341006</v>
      </c>
    </row>
    <row r="52" spans="1:44" s="77" customFormat="1" ht="12.75" x14ac:dyDescent="0.2">
      <c r="A52" s="73"/>
      <c r="B52" s="73"/>
      <c r="C52" s="76" t="s">
        <v>82</v>
      </c>
      <c r="D52" s="73">
        <f>F49*(K43+A43)/2</f>
        <v>5.2200000000000006</v>
      </c>
      <c r="E52" s="89" t="s">
        <v>142</v>
      </c>
      <c r="F52" s="82"/>
      <c r="G52" s="73"/>
      <c r="H52" s="82"/>
      <c r="I52" s="82"/>
      <c r="J52" s="73"/>
      <c r="K52" s="73"/>
      <c r="L52" s="157"/>
      <c r="M52" s="156"/>
      <c r="N52" s="156"/>
      <c r="O52" s="156"/>
      <c r="P52" s="156"/>
      <c r="Q52" s="156"/>
      <c r="R52" s="156"/>
      <c r="S52" s="156"/>
      <c r="T52" s="156"/>
      <c r="U52" s="157"/>
      <c r="V52" s="88"/>
      <c r="W52" s="88"/>
      <c r="X52" s="157"/>
      <c r="Y52" s="73"/>
      <c r="Z52" s="73"/>
      <c r="AA52" s="73"/>
      <c r="AB52" s="73"/>
      <c r="AC52" s="73"/>
      <c r="AD52" s="73"/>
      <c r="AE52" s="73"/>
      <c r="AF52" s="73"/>
      <c r="AG52" s="73"/>
      <c r="AH52" s="73"/>
      <c r="AI52" s="73"/>
      <c r="AO52" s="184"/>
    </row>
    <row r="53" spans="1:44" s="77" customFormat="1" ht="12.75" x14ac:dyDescent="0.2">
      <c r="A53" s="73"/>
      <c r="B53" s="82"/>
      <c r="C53" s="86"/>
      <c r="D53" s="161"/>
      <c r="E53" s="84"/>
      <c r="F53" s="88"/>
      <c r="G53" s="73"/>
      <c r="H53" s="84"/>
      <c r="I53" s="88"/>
      <c r="J53" s="87"/>
      <c r="K53" s="87"/>
      <c r="L53" s="157"/>
      <c r="M53" s="156"/>
      <c r="N53" s="156"/>
      <c r="O53" s="156"/>
      <c r="P53" s="156"/>
      <c r="Q53" s="156"/>
      <c r="R53" s="156"/>
      <c r="S53" s="156"/>
      <c r="T53" s="156"/>
      <c r="U53" s="157"/>
      <c r="V53" s="88"/>
      <c r="W53" s="88"/>
      <c r="X53" s="157"/>
      <c r="AC53" s="76" t="s">
        <v>164</v>
      </c>
      <c r="AD53" s="181">
        <f>AC51+AD51</f>
        <v>5.2200000000000006</v>
      </c>
      <c r="AE53" s="171"/>
      <c r="AF53" s="171"/>
      <c r="AG53" s="171"/>
      <c r="AH53" s="171"/>
    </row>
    <row r="54" spans="1:44" s="77" customFormat="1" ht="12.75" x14ac:dyDescent="0.2">
      <c r="A54" s="73"/>
      <c r="C54" s="76" t="s">
        <v>144</v>
      </c>
      <c r="D54" s="77" t="str">
        <f>[1]!xln(D55)</f>
        <v>41.3 × 5.22</v>
      </c>
      <c r="E54" s="84"/>
      <c r="F54" s="88"/>
      <c r="G54" s="73"/>
      <c r="H54" s="84"/>
      <c r="I54" s="88"/>
      <c r="J54" s="87"/>
      <c r="K54" s="87"/>
      <c r="L54" s="157"/>
      <c r="M54" s="156"/>
      <c r="N54" s="156"/>
      <c r="O54" s="156"/>
      <c r="P54" s="156"/>
      <c r="Q54" s="156"/>
      <c r="R54" s="156"/>
      <c r="S54" s="156"/>
      <c r="T54" s="156"/>
      <c r="U54" s="157"/>
      <c r="V54" s="88"/>
      <c r="W54" s="88"/>
      <c r="X54" s="157"/>
    </row>
    <row r="55" spans="1:44" s="77" customFormat="1" ht="12.75" x14ac:dyDescent="0.2">
      <c r="A55" s="73"/>
      <c r="B55" s="82"/>
      <c r="C55" s="175" t="s">
        <v>82</v>
      </c>
      <c r="D55" s="158">
        <f>C32*D52</f>
        <v>215.47582006920422</v>
      </c>
      <c r="E55" s="101" t="s">
        <v>143</v>
      </c>
      <c r="F55" s="88"/>
      <c r="G55" s="73"/>
      <c r="H55" s="84"/>
      <c r="I55" s="88"/>
      <c r="J55" s="87"/>
      <c r="K55" s="87"/>
      <c r="L55" s="157"/>
      <c r="M55" s="156"/>
      <c r="N55" s="156"/>
      <c r="O55" s="156"/>
      <c r="P55" s="156"/>
      <c r="Q55" s="156"/>
      <c r="R55" s="156"/>
      <c r="S55" s="156"/>
      <c r="T55" s="156"/>
      <c r="U55" s="157"/>
      <c r="V55" s="166"/>
      <c r="W55" s="88"/>
      <c r="X55" s="157"/>
    </row>
    <row r="56" spans="1:44" s="28" customFormat="1" ht="12.75" x14ac:dyDescent="0.2">
      <c r="A56" s="5"/>
      <c r="B56" s="46"/>
      <c r="C56" s="53"/>
      <c r="D56" s="43"/>
      <c r="E56" s="49"/>
      <c r="F56" s="40"/>
      <c r="G56" s="5"/>
      <c r="H56" s="49"/>
      <c r="I56" s="40"/>
      <c r="J56" s="47"/>
      <c r="K56" s="47"/>
      <c r="L56" s="30"/>
      <c r="M56" s="27"/>
      <c r="N56" s="27"/>
      <c r="O56" s="27"/>
      <c r="P56" s="27"/>
      <c r="Q56" s="27"/>
      <c r="R56" s="27"/>
      <c r="S56" s="27"/>
      <c r="T56" s="27"/>
      <c r="U56" s="30"/>
      <c r="V56" s="5"/>
      <c r="W56" s="5"/>
      <c r="X56" s="30"/>
    </row>
    <row r="57" spans="1:44" s="28" customFormat="1" ht="12.75" x14ac:dyDescent="0.2">
      <c r="A57" s="58"/>
      <c r="B57" s="59"/>
      <c r="C57" s="60"/>
      <c r="D57" s="58"/>
      <c r="E57" s="58"/>
      <c r="F57" s="58"/>
      <c r="G57" s="60"/>
      <c r="H57" s="58"/>
      <c r="I57" s="58"/>
      <c r="J57" s="58"/>
      <c r="K57" s="58"/>
      <c r="L57" s="30"/>
      <c r="M57" s="27"/>
      <c r="N57" s="27"/>
      <c r="O57" s="27"/>
      <c r="P57" s="27"/>
      <c r="Q57" s="27"/>
      <c r="R57" s="27"/>
      <c r="S57" s="27"/>
      <c r="T57" s="27"/>
      <c r="U57" s="30"/>
      <c r="V57" s="30"/>
      <c r="W57" s="30"/>
      <c r="X57" s="30"/>
    </row>
    <row r="58" spans="1:44" s="28" customFormat="1" ht="12.75" x14ac:dyDescent="0.2">
      <c r="A58" s="58"/>
      <c r="B58" s="59"/>
      <c r="C58" s="60"/>
      <c r="D58" s="58"/>
      <c r="E58" s="58"/>
      <c r="F58" s="58"/>
      <c r="G58" s="60"/>
      <c r="H58" s="58"/>
      <c r="I58" s="58"/>
      <c r="J58" s="58"/>
      <c r="K58" s="58"/>
      <c r="L58" s="30"/>
      <c r="M58" s="27"/>
      <c r="N58" s="27"/>
      <c r="O58" s="27"/>
      <c r="P58" s="27"/>
      <c r="Q58" s="27"/>
      <c r="R58" s="27"/>
      <c r="S58" s="27"/>
      <c r="T58" s="27"/>
      <c r="U58" s="30"/>
      <c r="V58" s="30"/>
      <c r="W58" s="30"/>
      <c r="X58" s="30"/>
    </row>
    <row r="59" spans="1:44" s="28" customFormat="1" ht="12.75" x14ac:dyDescent="0.2">
      <c r="A59" s="58"/>
      <c r="B59" s="59"/>
      <c r="C59" s="60"/>
      <c r="D59" s="58"/>
      <c r="E59" s="58"/>
      <c r="F59" s="58"/>
      <c r="G59" s="60"/>
      <c r="H59" s="58"/>
      <c r="I59" s="58"/>
      <c r="J59" s="58"/>
      <c r="K59" s="58"/>
      <c r="L59" s="30"/>
      <c r="M59" s="27"/>
      <c r="N59" s="27"/>
      <c r="O59" s="27"/>
      <c r="P59" s="27"/>
      <c r="Q59" s="27"/>
      <c r="R59" s="27"/>
      <c r="S59" s="27"/>
      <c r="T59" s="27"/>
      <c r="U59" s="30"/>
      <c r="V59" s="30"/>
      <c r="W59" s="30"/>
      <c r="X59" s="30"/>
    </row>
    <row r="60" spans="1:44" s="28" customFormat="1" ht="12.75" x14ac:dyDescent="0.2">
      <c r="A60" s="58"/>
      <c r="B60" s="59"/>
      <c r="C60" s="60"/>
      <c r="D60" s="58"/>
      <c r="E60" s="58"/>
      <c r="F60" s="58"/>
      <c r="G60" s="60"/>
      <c r="H60" s="58"/>
      <c r="I60" s="58"/>
      <c r="J60" s="58"/>
      <c r="K60" s="58"/>
      <c r="L60" s="30"/>
      <c r="M60" s="27"/>
      <c r="N60" s="27"/>
      <c r="O60" s="27"/>
      <c r="P60" s="27"/>
      <c r="Q60" s="27"/>
      <c r="R60" s="27"/>
      <c r="S60" s="27"/>
      <c r="T60" s="27"/>
      <c r="U60" s="30"/>
      <c r="V60" s="30"/>
      <c r="W60" s="30"/>
      <c r="X60" s="30"/>
    </row>
    <row r="61" spans="1:44" s="28" customFormat="1" ht="12.75" x14ac:dyDescent="0.2">
      <c r="A61" s="58"/>
      <c r="B61" s="59"/>
      <c r="C61" s="60"/>
      <c r="D61" s="58"/>
      <c r="E61" s="58"/>
      <c r="F61" s="58"/>
      <c r="G61" s="60"/>
      <c r="H61" s="58"/>
      <c r="I61" s="58"/>
      <c r="J61" s="58"/>
      <c r="K61" s="58"/>
      <c r="L61" s="30"/>
      <c r="M61" s="27"/>
      <c r="N61" s="27"/>
      <c r="O61" s="27"/>
      <c r="P61" s="27"/>
      <c r="Q61" s="27"/>
      <c r="R61" s="27"/>
      <c r="S61" s="27"/>
      <c r="T61" s="27"/>
      <c r="U61" s="30"/>
      <c r="V61" s="30"/>
      <c r="W61" s="30"/>
      <c r="X61" s="30"/>
    </row>
    <row r="62" spans="1:44" s="28" customFormat="1" ht="12.75" x14ac:dyDescent="0.2">
      <c r="A62" s="58"/>
      <c r="B62" s="59"/>
      <c r="C62" s="60"/>
      <c r="D62" s="58"/>
      <c r="E62" s="58"/>
      <c r="F62" s="58"/>
      <c r="G62" s="60"/>
      <c r="H62" s="58"/>
      <c r="I62" s="58"/>
      <c r="J62" s="58"/>
      <c r="K62" s="58"/>
      <c r="L62" s="30"/>
      <c r="M62" s="27"/>
      <c r="N62" s="27"/>
      <c r="O62" s="27"/>
      <c r="P62" s="27"/>
      <c r="Q62" s="27"/>
      <c r="R62" s="27"/>
      <c r="S62" s="27"/>
      <c r="T62" s="27"/>
      <c r="U62" s="30"/>
      <c r="V62" s="30"/>
      <c r="W62" s="30"/>
      <c r="X62" s="30"/>
    </row>
    <row r="63" spans="1:44" s="28" customFormat="1" ht="12.75" x14ac:dyDescent="0.2">
      <c r="A63" s="145" t="s">
        <v>118</v>
      </c>
      <c r="B63" s="146"/>
      <c r="C63" s="146"/>
      <c r="D63" s="146"/>
      <c r="E63" s="146"/>
      <c r="F63" s="146"/>
      <c r="G63" s="147"/>
      <c r="H63" s="147"/>
      <c r="I63" s="147"/>
      <c r="J63" s="147"/>
      <c r="K63" s="148"/>
      <c r="L63" s="30"/>
      <c r="M63" s="27"/>
      <c r="N63" s="27"/>
      <c r="O63" s="27"/>
      <c r="P63" s="27"/>
      <c r="Q63" s="27"/>
      <c r="R63" s="27"/>
      <c r="S63" s="27"/>
      <c r="T63" s="27"/>
      <c r="U63" s="30"/>
      <c r="V63" s="30"/>
      <c r="W63" s="30"/>
      <c r="X63" s="30"/>
    </row>
    <row r="64" spans="1:44" s="28" customFormat="1" ht="12.75" x14ac:dyDescent="0.2">
      <c r="A64" s="149"/>
      <c r="B64" s="149"/>
      <c r="C64" s="149"/>
      <c r="D64" s="150"/>
      <c r="E64" s="150"/>
      <c r="F64" s="151" t="s">
        <v>119</v>
      </c>
      <c r="G64" s="152" t="s">
        <v>120</v>
      </c>
      <c r="H64" s="153"/>
      <c r="I64" s="154"/>
      <c r="J64" s="154"/>
      <c r="K64" s="155"/>
      <c r="L64" s="30"/>
      <c r="M64" s="27"/>
      <c r="N64" s="27"/>
      <c r="O64" s="27"/>
      <c r="P64" s="27"/>
      <c r="Q64" s="27"/>
      <c r="R64" s="27"/>
      <c r="S64" s="27"/>
      <c r="T64" s="27"/>
      <c r="U64" s="30"/>
      <c r="V64" s="30"/>
      <c r="W64" s="30"/>
      <c r="X64" s="30"/>
    </row>
    <row r="65" spans="1:35" s="5" customFormat="1" ht="12.75" x14ac:dyDescent="0.2">
      <c r="A65" s="14"/>
      <c r="E65" s="7" t="s">
        <v>1</v>
      </c>
      <c r="F65" s="8" t="str">
        <f>$C$1</f>
        <v>R. Abbott</v>
      </c>
      <c r="H65" s="15"/>
      <c r="I65" s="7" t="s">
        <v>8</v>
      </c>
      <c r="J65" s="16" t="str">
        <f>$G$2</f>
        <v>AA-SM-515-000</v>
      </c>
      <c r="K65" s="17"/>
      <c r="L65" s="18"/>
      <c r="M65" s="9"/>
      <c r="N65" s="9"/>
      <c r="O65" s="9"/>
      <c r="P65" s="9"/>
      <c r="Q65" s="11"/>
      <c r="R65" s="12"/>
      <c r="S65" s="36"/>
      <c r="T65" s="35"/>
    </row>
    <row r="66" spans="1:35" s="5" customFormat="1" ht="12.75" x14ac:dyDescent="0.2">
      <c r="E66" s="7" t="s">
        <v>2</v>
      </c>
      <c r="F66" s="15" t="str">
        <f>$C$2</f>
        <v xml:space="preserve"> </v>
      </c>
      <c r="H66" s="15"/>
      <c r="I66" s="7" t="s">
        <v>9</v>
      </c>
      <c r="J66" s="17" t="str">
        <f>$G$3</f>
        <v>IR</v>
      </c>
      <c r="K66" s="17"/>
      <c r="L66" s="18"/>
      <c r="M66" s="9">
        <v>1</v>
      </c>
      <c r="N66" s="9"/>
      <c r="O66" s="9"/>
      <c r="P66" s="9"/>
      <c r="Q66" s="11"/>
      <c r="R66" s="12"/>
      <c r="S66" s="36"/>
      <c r="T66" s="35"/>
    </row>
    <row r="67" spans="1:35" s="5" customFormat="1" ht="12.75" x14ac:dyDescent="0.2">
      <c r="E67" s="7" t="s">
        <v>3</v>
      </c>
      <c r="F67" s="15" t="str">
        <f>$C$3</f>
        <v>05/03/2017</v>
      </c>
      <c r="H67" s="15"/>
      <c r="I67" s="7" t="s">
        <v>6</v>
      </c>
      <c r="J67" s="8" t="str">
        <f>L67&amp;" of "&amp;$G$1</f>
        <v>8 of 17</v>
      </c>
      <c r="K67" s="15"/>
      <c r="L67" s="18">
        <f>SUM($M$1:M66)</f>
        <v>8</v>
      </c>
      <c r="M67" s="9"/>
      <c r="N67" s="9"/>
      <c r="O67" s="9"/>
      <c r="P67" s="9"/>
      <c r="Q67" s="11"/>
      <c r="R67" s="12"/>
      <c r="S67" s="36"/>
      <c r="T67" s="35"/>
    </row>
    <row r="68" spans="1:35" s="5" customFormat="1" ht="12.75" x14ac:dyDescent="0.2">
      <c r="A68" s="26"/>
      <c r="B68" s="26"/>
      <c r="C68" s="26"/>
      <c r="D68" s="26"/>
      <c r="E68" s="7" t="s">
        <v>29</v>
      </c>
      <c r="F68" s="15" t="str">
        <f>$C$5</f>
        <v>STANDARD SPREADSHEET METHOD</v>
      </c>
      <c r="I68" s="19"/>
      <c r="J68" s="8"/>
      <c r="M68" s="9"/>
      <c r="N68" s="9"/>
      <c r="O68" s="9"/>
      <c r="P68" s="9"/>
      <c r="Q68" s="9"/>
      <c r="R68" s="9"/>
      <c r="S68" s="34"/>
      <c r="T68" s="35"/>
    </row>
    <row r="69" spans="1:35" s="28" customFormat="1" x14ac:dyDescent="0.25">
      <c r="A69" s="70"/>
      <c r="B69" s="21" t="str">
        <f>$G$4</f>
        <v>SIMPLIFIED PART 23 AIRCRAFT LOADS</v>
      </c>
      <c r="C69" s="71"/>
      <c r="D69" s="71"/>
      <c r="E69" s="72"/>
      <c r="F69" s="71"/>
      <c r="G69" s="71"/>
      <c r="H69" s="71"/>
      <c r="I69" s="71"/>
      <c r="J69" s="71"/>
      <c r="K69" s="71"/>
      <c r="L69" s="30"/>
      <c r="M69" s="37"/>
      <c r="N69" s="38"/>
      <c r="O69" s="38"/>
      <c r="P69" s="38"/>
      <c r="Q69" s="38"/>
      <c r="R69" s="37"/>
      <c r="S69" s="37"/>
      <c r="T69" s="39"/>
    </row>
    <row r="70" spans="1:35" s="26" customFormat="1" ht="12.75" x14ac:dyDescent="0.2">
      <c r="A70" s="73"/>
      <c r="B70" s="73" t="s">
        <v>47</v>
      </c>
      <c r="C70" s="73"/>
      <c r="D70" s="73"/>
      <c r="E70" s="73"/>
      <c r="F70" s="73"/>
      <c r="G70" s="73"/>
      <c r="H70" s="73"/>
      <c r="I70" s="73"/>
      <c r="J70" s="73"/>
      <c r="K70" s="73"/>
      <c r="L70" s="29"/>
      <c r="M70" s="27"/>
      <c r="N70" s="27"/>
      <c r="O70" s="27"/>
      <c r="P70" s="27"/>
      <c r="Q70" s="27"/>
      <c r="R70" s="27"/>
      <c r="S70" s="27"/>
      <c r="T70" s="27"/>
    </row>
    <row r="71" spans="1:35" s="26" customFormat="1" ht="12.75" x14ac:dyDescent="0.2">
      <c r="A71" s="73"/>
      <c r="B71" s="114"/>
      <c r="C71" s="73"/>
      <c r="D71" s="76"/>
      <c r="E71" s="73"/>
      <c r="F71" s="73"/>
      <c r="G71" s="77"/>
      <c r="H71" s="73"/>
      <c r="I71" s="73"/>
      <c r="J71" s="73"/>
      <c r="K71" s="73"/>
      <c r="M71" s="27"/>
      <c r="N71" s="27"/>
      <c r="O71" s="27"/>
      <c r="P71" s="27"/>
      <c r="Q71" s="27"/>
      <c r="R71" s="27"/>
      <c r="S71" s="27"/>
      <c r="T71" s="27"/>
    </row>
    <row r="72" spans="1:35" s="26" customFormat="1" ht="12.75" x14ac:dyDescent="0.2">
      <c r="B72" s="26" t="s">
        <v>186</v>
      </c>
      <c r="M72" s="27"/>
      <c r="N72" s="27"/>
      <c r="O72" s="27"/>
      <c r="P72" s="27"/>
      <c r="Q72" s="27"/>
      <c r="R72" s="27"/>
      <c r="S72" s="27"/>
      <c r="T72" s="27"/>
      <c r="V72" s="40"/>
      <c r="W72" s="40"/>
      <c r="Y72" s="5"/>
      <c r="Z72" s="5"/>
      <c r="AA72" s="5"/>
      <c r="AB72" s="5"/>
      <c r="AC72" s="7"/>
      <c r="AD72" s="5"/>
      <c r="AE72" s="5"/>
      <c r="AF72" s="5"/>
      <c r="AG72" s="5"/>
      <c r="AH72" s="5"/>
      <c r="AI72" s="5"/>
    </row>
    <row r="73" spans="1:35" s="28" customFormat="1" ht="13.5" customHeight="1" x14ac:dyDescent="0.2">
      <c r="L73" s="30"/>
      <c r="M73" s="27"/>
      <c r="N73" s="27"/>
      <c r="O73" s="27"/>
      <c r="P73" s="27"/>
      <c r="Q73" s="27"/>
      <c r="R73" s="27"/>
      <c r="S73" s="27"/>
      <c r="T73" s="27"/>
      <c r="U73" s="30"/>
      <c r="V73" s="40"/>
      <c r="W73" s="40"/>
      <c r="X73" s="30"/>
      <c r="Y73" s="5"/>
      <c r="Z73" s="18"/>
      <c r="AA73" s="46"/>
      <c r="AB73" s="46"/>
      <c r="AC73" s="5"/>
      <c r="AD73" s="5"/>
      <c r="AE73" s="5"/>
      <c r="AF73" s="5"/>
      <c r="AG73" s="5"/>
      <c r="AH73" s="5"/>
      <c r="AI73" s="5"/>
    </row>
    <row r="74" spans="1:35" s="28" customFormat="1" ht="12.75" x14ac:dyDescent="0.2">
      <c r="C74" s="135" t="s">
        <v>165</v>
      </c>
      <c r="F74" s="28" t="s">
        <v>153</v>
      </c>
      <c r="L74" s="30"/>
      <c r="M74" s="27"/>
      <c r="N74" s="27"/>
      <c r="O74" s="27"/>
      <c r="P74" s="27"/>
      <c r="Q74" s="27"/>
      <c r="R74" s="27"/>
      <c r="S74" s="27"/>
      <c r="T74" s="27"/>
      <c r="U74" s="30"/>
      <c r="V74" s="40"/>
      <c r="W74" s="40"/>
      <c r="X74" s="30"/>
      <c r="Y74" s="5"/>
      <c r="Z74" s="46"/>
      <c r="AA74" s="29"/>
      <c r="AB74" s="31"/>
      <c r="AC74" s="5"/>
      <c r="AD74" s="5"/>
      <c r="AE74" s="5"/>
      <c r="AF74" s="5"/>
      <c r="AG74" s="5"/>
      <c r="AH74" s="5"/>
      <c r="AI74" s="5"/>
    </row>
    <row r="75" spans="1:35" s="28" customFormat="1" ht="12.75" x14ac:dyDescent="0.2">
      <c r="L75" s="30"/>
      <c r="M75" s="27"/>
      <c r="N75" s="27"/>
      <c r="O75" s="27"/>
      <c r="P75" s="27"/>
      <c r="Q75" s="27"/>
      <c r="R75" s="27"/>
      <c r="S75" s="27"/>
      <c r="T75" s="27"/>
      <c r="U75" s="30"/>
      <c r="V75" s="40"/>
      <c r="W75" s="40"/>
      <c r="X75" s="30"/>
      <c r="Y75" s="5"/>
      <c r="Z75" s="46"/>
      <c r="AA75" s="29"/>
      <c r="AB75" s="31"/>
      <c r="AC75" s="47"/>
      <c r="AD75" s="5"/>
      <c r="AE75" s="48"/>
      <c r="AF75" s="47"/>
      <c r="AG75" s="47"/>
      <c r="AH75" s="47"/>
      <c r="AI75" s="5"/>
    </row>
    <row r="76" spans="1:35" s="28" customFormat="1" ht="12.75" x14ac:dyDescent="0.2">
      <c r="L76" s="30"/>
      <c r="M76" s="27"/>
      <c r="N76" s="27"/>
      <c r="O76" s="27"/>
      <c r="P76" s="27"/>
      <c r="Q76" s="27"/>
      <c r="R76" s="27"/>
      <c r="S76" s="27"/>
      <c r="T76" s="27"/>
      <c r="U76" s="30"/>
      <c r="V76" s="40"/>
      <c r="X76" s="121"/>
      <c r="Y76" s="122"/>
      <c r="Z76" s="123"/>
      <c r="AA76" s="124"/>
      <c r="AB76" s="124"/>
      <c r="AC76" s="123"/>
      <c r="AD76" s="47"/>
      <c r="AE76" s="47"/>
      <c r="AH76" s="47"/>
      <c r="AI76" s="23"/>
    </row>
    <row r="77" spans="1:35" s="28" customFormat="1" ht="12.75" x14ac:dyDescent="0.2">
      <c r="L77" s="30"/>
      <c r="M77" s="27"/>
      <c r="N77" s="27"/>
      <c r="O77" s="27"/>
      <c r="P77" s="27"/>
      <c r="Q77" s="27"/>
      <c r="R77" s="27"/>
      <c r="S77" s="27"/>
      <c r="T77" s="27"/>
      <c r="U77" s="30"/>
      <c r="V77" s="40"/>
      <c r="W77" s="40"/>
      <c r="X77" s="30"/>
      <c r="Y77" s="23"/>
      <c r="Z77" s="50"/>
      <c r="AA77" s="29"/>
      <c r="AB77" s="31"/>
      <c r="AC77" s="51"/>
      <c r="AD77" s="51"/>
      <c r="AE77" s="51"/>
      <c r="AG77" s="47"/>
      <c r="AH77" s="51"/>
      <c r="AI77" s="23"/>
    </row>
    <row r="78" spans="1:35" s="28" customFormat="1" ht="12.75" x14ac:dyDescent="0.2">
      <c r="L78" s="30"/>
      <c r="M78" s="27"/>
      <c r="N78" s="27"/>
      <c r="O78" s="27"/>
      <c r="P78" s="27"/>
      <c r="Q78" s="27"/>
      <c r="R78" s="27"/>
      <c r="S78" s="27"/>
      <c r="T78" s="27"/>
      <c r="U78" s="30"/>
      <c r="V78" s="40"/>
      <c r="W78" s="40"/>
      <c r="X78" s="5"/>
      <c r="Y78" s="5"/>
      <c r="Z78" s="5"/>
      <c r="AA78" s="5"/>
      <c r="AB78" s="5"/>
      <c r="AC78" s="5"/>
      <c r="AD78" s="5"/>
      <c r="AE78" s="5"/>
      <c r="AF78" s="5"/>
      <c r="AG78" s="5"/>
      <c r="AH78" s="5"/>
      <c r="AI78" s="5"/>
    </row>
    <row r="79" spans="1:35" s="28" customFormat="1" ht="12.75" x14ac:dyDescent="0.2">
      <c r="L79" s="30"/>
      <c r="M79" s="27"/>
      <c r="N79" s="27"/>
      <c r="O79" s="27"/>
      <c r="P79" s="27"/>
      <c r="Q79" s="27"/>
      <c r="R79" s="27"/>
      <c r="S79" s="27"/>
      <c r="T79" s="27"/>
      <c r="U79" s="30"/>
      <c r="V79" s="40"/>
      <c r="W79" s="40"/>
      <c r="X79" s="23"/>
      <c r="Y79" s="23"/>
      <c r="Z79" s="23"/>
      <c r="AA79" s="23"/>
      <c r="AB79" s="23"/>
      <c r="AC79" s="23"/>
      <c r="AD79" s="5"/>
      <c r="AE79" s="5"/>
      <c r="AF79" s="5"/>
      <c r="AG79" s="5"/>
      <c r="AH79" s="51"/>
      <c r="AI79" s="5"/>
    </row>
    <row r="80" spans="1:35" s="28" customFormat="1" ht="12.75" x14ac:dyDescent="0.2">
      <c r="H80" s="28" t="s">
        <v>185</v>
      </c>
      <c r="L80" s="30"/>
      <c r="M80" s="27"/>
      <c r="N80" s="27"/>
      <c r="O80" s="27"/>
      <c r="P80" s="27"/>
      <c r="Q80" s="27"/>
      <c r="R80" s="27"/>
      <c r="S80" s="27"/>
      <c r="T80" s="27"/>
      <c r="U80" s="30"/>
      <c r="V80" s="40"/>
      <c r="W80" s="40"/>
      <c r="X80" s="30"/>
      <c r="Y80" s="5"/>
      <c r="Z80" s="5"/>
      <c r="AA80" s="5"/>
      <c r="AB80" s="5"/>
      <c r="AC80" s="5"/>
      <c r="AD80" s="18"/>
      <c r="AE80" s="18"/>
      <c r="AF80" s="18"/>
      <c r="AG80" s="18"/>
      <c r="AH80" s="51"/>
      <c r="AI80" s="5"/>
    </row>
    <row r="81" spans="1:35" s="28" customFormat="1" ht="12.75" x14ac:dyDescent="0.2">
      <c r="L81" s="30"/>
      <c r="M81" s="27"/>
      <c r="N81" s="27"/>
      <c r="O81" s="27"/>
      <c r="P81" s="27"/>
      <c r="Q81" s="27"/>
      <c r="R81" s="27"/>
      <c r="S81" s="27"/>
      <c r="T81" s="27"/>
      <c r="U81" s="30"/>
      <c r="V81" s="40"/>
      <c r="W81" s="40"/>
      <c r="X81" s="30"/>
      <c r="Y81" s="5"/>
      <c r="Z81" s="5"/>
      <c r="AA81" s="5"/>
      <c r="AB81" s="5"/>
      <c r="AC81" s="5"/>
      <c r="AD81" s="18"/>
      <c r="AE81" s="18"/>
      <c r="AF81" s="49"/>
      <c r="AG81" s="18"/>
      <c r="AH81" s="51"/>
      <c r="AI81" s="5"/>
    </row>
    <row r="82" spans="1:35" s="28" customFormat="1" ht="12.75" x14ac:dyDescent="0.2">
      <c r="A82" s="73"/>
      <c r="B82" s="75" t="s">
        <v>184</v>
      </c>
      <c r="C82" s="73"/>
      <c r="D82" s="76"/>
      <c r="E82" s="73"/>
      <c r="F82" s="73"/>
      <c r="G82" s="73"/>
      <c r="H82" s="73"/>
      <c r="I82" s="73"/>
      <c r="J82" s="73"/>
      <c r="K82" s="73"/>
      <c r="L82" s="30"/>
      <c r="M82" s="27"/>
      <c r="N82" s="27"/>
      <c r="O82" s="27"/>
      <c r="P82" s="27"/>
      <c r="Q82" s="27"/>
      <c r="R82" s="27"/>
      <c r="S82" s="27"/>
      <c r="T82" s="27"/>
      <c r="U82" s="30"/>
      <c r="V82" s="40"/>
      <c r="W82" s="40"/>
      <c r="X82" s="30"/>
      <c r="Y82" s="5"/>
      <c r="Z82" s="5"/>
      <c r="AA82" s="5"/>
      <c r="AB82" s="5"/>
      <c r="AC82" s="5"/>
      <c r="AD82" s="18"/>
      <c r="AE82" s="18"/>
      <c r="AF82" s="18"/>
      <c r="AG82" s="18"/>
      <c r="AH82" s="5"/>
      <c r="AI82" s="5"/>
    </row>
    <row r="83" spans="1:35" s="28" customFormat="1" ht="12.75" x14ac:dyDescent="0.2">
      <c r="A83" s="73"/>
      <c r="B83" s="73"/>
      <c r="C83" s="73"/>
      <c r="D83" s="76"/>
      <c r="E83" s="73"/>
      <c r="F83" s="73"/>
      <c r="G83" s="73"/>
      <c r="H83" s="73"/>
      <c r="I83" s="73"/>
      <c r="J83" s="73"/>
      <c r="K83" s="73"/>
      <c r="L83" s="30"/>
      <c r="M83" s="27"/>
      <c r="N83" s="27"/>
      <c r="O83" s="27"/>
      <c r="P83" s="27"/>
      <c r="Q83" s="27"/>
      <c r="R83" s="27"/>
      <c r="S83" s="27"/>
      <c r="T83" s="27"/>
      <c r="U83" s="30"/>
      <c r="V83" s="40"/>
      <c r="W83" s="40"/>
      <c r="X83" s="117"/>
      <c r="Y83" s="117"/>
      <c r="Z83" s="117"/>
      <c r="AA83" s="117"/>
      <c r="AB83" s="117"/>
      <c r="AC83" s="117"/>
      <c r="AD83" s="18"/>
      <c r="AE83" s="18"/>
      <c r="AF83" s="18"/>
      <c r="AG83" s="18"/>
      <c r="AH83" s="5"/>
      <c r="AI83" s="5"/>
    </row>
    <row r="84" spans="1:35" s="28" customFormat="1" ht="12.75" x14ac:dyDescent="0.2">
      <c r="A84" s="77"/>
      <c r="B84" s="76"/>
      <c r="C84" s="76"/>
      <c r="D84" s="101"/>
      <c r="E84" s="77"/>
      <c r="F84" s="77"/>
      <c r="G84" s="77"/>
      <c r="H84" s="77"/>
      <c r="I84" s="77"/>
      <c r="J84" s="77"/>
      <c r="K84" s="77"/>
      <c r="L84" s="30"/>
      <c r="M84" s="27"/>
      <c r="N84" s="27"/>
      <c r="O84" s="27"/>
      <c r="P84" s="27"/>
      <c r="Q84" s="27"/>
      <c r="R84" s="27"/>
      <c r="S84" s="27"/>
      <c r="T84" s="27"/>
      <c r="U84" s="30"/>
      <c r="V84" s="40"/>
      <c r="W84" s="40"/>
      <c r="X84" s="117"/>
      <c r="Y84" s="117"/>
      <c r="Z84" s="117"/>
      <c r="AA84" s="117"/>
      <c r="AB84" s="117"/>
      <c r="AC84" s="117"/>
      <c r="AD84" s="18"/>
      <c r="AE84" s="40"/>
      <c r="AF84" s="117"/>
      <c r="AG84" s="117"/>
      <c r="AH84" s="5"/>
      <c r="AI84" s="5"/>
    </row>
    <row r="85" spans="1:35" s="28" customFormat="1" ht="12.75" x14ac:dyDescent="0.2">
      <c r="A85" s="73"/>
      <c r="B85" s="76"/>
      <c r="C85" s="158"/>
      <c r="D85" s="101"/>
      <c r="E85" s="73"/>
      <c r="F85" s="73"/>
      <c r="G85" s="73"/>
      <c r="H85" s="77"/>
      <c r="I85" s="77"/>
      <c r="J85" s="77"/>
      <c r="K85" s="73"/>
      <c r="L85" s="30"/>
      <c r="M85" s="27"/>
      <c r="N85" s="27"/>
      <c r="O85" s="27"/>
      <c r="P85" s="27"/>
      <c r="Q85" s="27"/>
      <c r="R85" s="27"/>
      <c r="S85" s="27"/>
      <c r="T85" s="27"/>
      <c r="U85" s="30"/>
      <c r="V85" s="40"/>
      <c r="W85" s="40"/>
      <c r="X85" s="117"/>
      <c r="Y85" s="117"/>
      <c r="Z85" s="117"/>
      <c r="AA85" s="117"/>
      <c r="AB85" s="117"/>
      <c r="AC85" s="117"/>
      <c r="AD85" s="18"/>
      <c r="AE85" s="51"/>
      <c r="AF85" s="54"/>
      <c r="AG85" s="51"/>
      <c r="AH85" s="51"/>
      <c r="AI85" s="23"/>
    </row>
    <row r="86" spans="1:35" s="28" customFormat="1" ht="12.75" x14ac:dyDescent="0.2">
      <c r="A86" s="73"/>
      <c r="B86" s="103"/>
      <c r="C86" s="104"/>
      <c r="D86" s="101"/>
      <c r="E86" s="73"/>
      <c r="F86" s="73"/>
      <c r="G86" s="73"/>
      <c r="H86" s="77"/>
      <c r="I86" s="77"/>
      <c r="J86" s="77"/>
      <c r="K86" s="73"/>
      <c r="L86" s="30"/>
      <c r="M86" s="27"/>
      <c r="N86" s="27"/>
      <c r="O86" s="27"/>
      <c r="P86" s="27"/>
      <c r="Q86" s="27"/>
      <c r="R86" s="27"/>
      <c r="S86" s="27"/>
      <c r="T86" s="27"/>
      <c r="U86" s="30"/>
      <c r="V86" s="40"/>
      <c r="W86" s="40"/>
      <c r="X86" s="117"/>
      <c r="Y86" s="117"/>
      <c r="Z86" s="117"/>
      <c r="AA86" s="117"/>
      <c r="AB86" s="117"/>
      <c r="AC86" s="117"/>
      <c r="AD86" s="18"/>
      <c r="AE86" s="45"/>
      <c r="AF86" s="45"/>
      <c r="AG86" s="45"/>
      <c r="AH86" s="45"/>
      <c r="AI86" s="44"/>
    </row>
    <row r="87" spans="1:35" s="28" customFormat="1" ht="12.75" x14ac:dyDescent="0.2">
      <c r="A87" s="79"/>
      <c r="B87" s="77"/>
      <c r="C87" s="77"/>
      <c r="D87" s="77"/>
      <c r="E87" s="77"/>
      <c r="F87" s="77"/>
      <c r="G87" s="77"/>
      <c r="H87" s="77"/>
      <c r="I87" s="73"/>
      <c r="J87" s="73"/>
      <c r="K87" s="73"/>
      <c r="L87" s="30"/>
      <c r="M87" s="27"/>
      <c r="N87" s="27"/>
      <c r="O87" s="27"/>
      <c r="P87" s="27"/>
      <c r="Q87" s="27"/>
      <c r="R87" s="27"/>
      <c r="S87" s="27"/>
      <c r="T87" s="27"/>
      <c r="U87" s="30"/>
      <c r="V87" s="40"/>
      <c r="W87" s="40"/>
      <c r="X87" s="117"/>
      <c r="Y87" s="117"/>
      <c r="Z87" s="117"/>
      <c r="AA87" s="117"/>
      <c r="AB87" s="117"/>
      <c r="AC87" s="117"/>
      <c r="AD87" s="18"/>
      <c r="AE87" s="45"/>
      <c r="AF87" s="45"/>
      <c r="AG87" s="45"/>
      <c r="AH87" s="45"/>
      <c r="AI87" s="44"/>
    </row>
    <row r="88" spans="1:35" s="28" customFormat="1" ht="12.75" x14ac:dyDescent="0.2">
      <c r="A88" s="77"/>
      <c r="B88" s="76"/>
      <c r="C88" s="76"/>
      <c r="D88" s="101"/>
      <c r="E88" s="77"/>
      <c r="F88" s="77"/>
      <c r="G88" s="77"/>
      <c r="H88" s="77"/>
      <c r="I88" s="77"/>
      <c r="J88" s="77"/>
      <c r="K88" s="77"/>
      <c r="L88" s="30"/>
      <c r="M88" s="27"/>
      <c r="N88" s="27"/>
      <c r="O88" s="27"/>
      <c r="P88" s="27"/>
      <c r="Q88" s="27"/>
      <c r="R88" s="27"/>
      <c r="S88" s="27"/>
      <c r="T88" s="27"/>
      <c r="U88" s="30"/>
      <c r="V88" s="40"/>
      <c r="W88" s="40"/>
      <c r="X88" s="117"/>
      <c r="Y88" s="117"/>
      <c r="Z88" s="117"/>
      <c r="AA88" s="117"/>
      <c r="AB88" s="117"/>
      <c r="AC88" s="117"/>
      <c r="AD88" s="18"/>
      <c r="AE88" s="45"/>
      <c r="AF88" s="45"/>
      <c r="AG88" s="45"/>
      <c r="AH88" s="45"/>
      <c r="AI88" s="44"/>
    </row>
    <row r="89" spans="1:35" s="28" customFormat="1" ht="12.75" x14ac:dyDescent="0.2">
      <c r="A89" s="77"/>
      <c r="B89" s="76"/>
      <c r="C89" s="158"/>
      <c r="D89" s="101"/>
      <c r="E89" s="77"/>
      <c r="F89" s="77"/>
      <c r="G89" s="77"/>
      <c r="H89" s="77"/>
      <c r="I89" s="77"/>
      <c r="J89" s="77"/>
      <c r="K89" s="77"/>
      <c r="L89" s="30"/>
      <c r="M89" s="27"/>
      <c r="N89" s="27"/>
      <c r="O89" s="27"/>
      <c r="P89" s="27"/>
      <c r="Q89" s="27"/>
      <c r="R89" s="27"/>
      <c r="S89" s="27"/>
      <c r="T89" s="27"/>
      <c r="U89" s="30"/>
      <c r="V89" s="40"/>
      <c r="W89" s="40"/>
      <c r="X89" s="117"/>
      <c r="Y89" s="117"/>
      <c r="Z89" s="117"/>
      <c r="AA89" s="117"/>
      <c r="AB89" s="117"/>
      <c r="AC89" s="117"/>
      <c r="AD89" s="18"/>
      <c r="AE89" s="45"/>
      <c r="AF89" s="45"/>
      <c r="AG89" s="45"/>
      <c r="AH89" s="45"/>
      <c r="AI89" s="44"/>
    </row>
    <row r="90" spans="1:35" s="28" customFormat="1" ht="12.75" x14ac:dyDescent="0.2">
      <c r="A90" s="77"/>
      <c r="B90" s="103"/>
      <c r="C90" s="104"/>
      <c r="D90" s="101"/>
      <c r="E90" s="77"/>
      <c r="F90" s="77"/>
      <c r="G90" s="77"/>
      <c r="H90" s="77"/>
      <c r="I90" s="77"/>
      <c r="J90" s="77"/>
      <c r="K90" s="77"/>
      <c r="L90" s="30"/>
      <c r="M90" s="27"/>
      <c r="N90" s="27"/>
      <c r="O90" s="27"/>
      <c r="P90" s="27"/>
      <c r="Q90" s="27"/>
      <c r="R90" s="27"/>
      <c r="S90" s="27"/>
      <c r="T90" s="27"/>
      <c r="U90" s="30"/>
      <c r="V90" s="40"/>
      <c r="W90" s="40"/>
      <c r="X90" s="117"/>
      <c r="Y90" s="117"/>
      <c r="Z90" s="117"/>
      <c r="AA90" s="117"/>
      <c r="AB90" s="117"/>
      <c r="AC90" s="117"/>
      <c r="AD90" s="18"/>
      <c r="AE90" s="40"/>
      <c r="AF90" s="117"/>
      <c r="AG90" s="117"/>
      <c r="AH90" s="45"/>
      <c r="AI90" s="44"/>
    </row>
    <row r="91" spans="1:35" s="28" customFormat="1" ht="12.75" x14ac:dyDescent="0.2">
      <c r="A91" s="77"/>
      <c r="B91" s="77"/>
      <c r="C91" s="77"/>
      <c r="D91" s="77"/>
      <c r="E91" s="77"/>
      <c r="F91" s="77"/>
      <c r="G91" s="77"/>
      <c r="H91" s="77"/>
      <c r="I91" s="77"/>
      <c r="J91" s="77"/>
      <c r="K91" s="77"/>
      <c r="L91" s="30"/>
      <c r="M91" s="27"/>
      <c r="N91" s="27"/>
      <c r="O91" s="27"/>
      <c r="P91" s="27"/>
      <c r="Q91" s="27"/>
      <c r="R91" s="27"/>
      <c r="S91" s="27"/>
      <c r="T91" s="27"/>
      <c r="U91" s="30"/>
      <c r="V91" s="40"/>
      <c r="W91" s="40"/>
      <c r="X91" s="117"/>
      <c r="Y91" s="117"/>
      <c r="Z91" s="117"/>
      <c r="AA91" s="117"/>
      <c r="AB91" s="117"/>
      <c r="AC91" s="117"/>
      <c r="AD91" s="18"/>
      <c r="AE91" s="43"/>
      <c r="AF91" s="54"/>
      <c r="AG91" s="42"/>
      <c r="AH91" s="5"/>
      <c r="AI91" s="5"/>
    </row>
    <row r="92" spans="1:35" s="28" customFormat="1" ht="12.75" x14ac:dyDescent="0.2">
      <c r="A92" s="77"/>
      <c r="B92" s="77"/>
      <c r="C92" s="77"/>
      <c r="D92" s="77"/>
      <c r="E92" s="77"/>
      <c r="F92" s="77"/>
      <c r="G92" s="77"/>
      <c r="H92" s="77"/>
      <c r="I92" s="77"/>
      <c r="J92" s="77"/>
      <c r="K92" s="77"/>
      <c r="L92" s="30"/>
      <c r="M92" s="27"/>
      <c r="N92" s="27"/>
      <c r="O92" s="27"/>
      <c r="P92" s="27"/>
      <c r="Q92" s="27"/>
      <c r="R92" s="27"/>
      <c r="S92" s="27"/>
      <c r="T92" s="27"/>
      <c r="U92" s="30"/>
      <c r="V92" s="40"/>
      <c r="W92" s="40"/>
      <c r="X92" s="117"/>
      <c r="Y92" s="117"/>
      <c r="Z92" s="117"/>
      <c r="AA92" s="117"/>
      <c r="AB92" s="117"/>
      <c r="AC92" s="117"/>
      <c r="AD92" s="18"/>
      <c r="AE92" s="41"/>
      <c r="AF92" s="41"/>
      <c r="AG92" s="41"/>
      <c r="AH92" s="41"/>
      <c r="AI92" s="41"/>
    </row>
    <row r="93" spans="1:35" s="28" customFormat="1" ht="12.75" x14ac:dyDescent="0.2">
      <c r="A93" s="79"/>
      <c r="B93" s="80"/>
      <c r="C93" s="77"/>
      <c r="D93" s="77"/>
      <c r="E93" s="73"/>
      <c r="F93" s="73"/>
      <c r="G93" s="73"/>
      <c r="H93" s="81"/>
      <c r="I93" s="77"/>
      <c r="J93" s="77"/>
      <c r="K93" s="73"/>
      <c r="L93" s="30"/>
      <c r="M93" s="27"/>
      <c r="N93" s="27"/>
      <c r="O93" s="27"/>
      <c r="P93" s="27"/>
      <c r="Q93" s="27"/>
      <c r="R93" s="27"/>
      <c r="S93" s="27"/>
      <c r="T93" s="27"/>
      <c r="U93" s="30"/>
      <c r="V93" s="40"/>
      <c r="W93" s="40"/>
      <c r="X93" s="117"/>
      <c r="Y93" s="117"/>
      <c r="Z93" s="117"/>
      <c r="AA93" s="117"/>
      <c r="AB93" s="117"/>
      <c r="AC93" s="117"/>
      <c r="AD93" s="18"/>
      <c r="AE93" s="41"/>
      <c r="AF93" s="49"/>
      <c r="AG93" s="49"/>
      <c r="AH93" s="41"/>
      <c r="AI93" s="41"/>
    </row>
    <row r="94" spans="1:35" s="28" customFormat="1" ht="12.75" x14ac:dyDescent="0.2">
      <c r="A94" s="79"/>
      <c r="B94" s="76"/>
      <c r="C94" s="78"/>
      <c r="D94" s="73"/>
      <c r="E94" s="73"/>
      <c r="F94" s="82"/>
      <c r="G94" s="73"/>
      <c r="H94" s="82"/>
      <c r="I94" s="77"/>
      <c r="J94" s="77"/>
      <c r="K94" s="73"/>
      <c r="L94" s="30"/>
      <c r="M94" s="27"/>
      <c r="N94" s="27"/>
      <c r="O94" s="27"/>
      <c r="P94" s="27"/>
      <c r="Q94" s="27"/>
      <c r="R94" s="27"/>
      <c r="S94" s="27"/>
      <c r="T94" s="27"/>
      <c r="U94" s="30"/>
      <c r="V94" s="40"/>
      <c r="W94" s="40"/>
      <c r="X94" s="117"/>
      <c r="Y94" s="117"/>
      <c r="Z94" s="117"/>
      <c r="AA94" s="117"/>
      <c r="AB94" s="117"/>
      <c r="AC94" s="117"/>
      <c r="AD94" s="18"/>
      <c r="AE94" s="41"/>
      <c r="AF94" s="49"/>
      <c r="AG94" s="49"/>
      <c r="AH94" s="41"/>
      <c r="AI94" s="41"/>
    </row>
    <row r="95" spans="1:35" s="28" customFormat="1" ht="12.75" x14ac:dyDescent="0.2">
      <c r="A95" s="73"/>
      <c r="B95" s="76"/>
      <c r="C95" s="73"/>
      <c r="D95" s="73"/>
      <c r="E95" s="73"/>
      <c r="F95" s="82"/>
      <c r="G95" s="73"/>
      <c r="H95" s="82"/>
      <c r="I95" s="77"/>
      <c r="J95" s="77"/>
      <c r="K95" s="73"/>
      <c r="L95" s="30"/>
      <c r="M95" s="27"/>
      <c r="N95" s="27"/>
      <c r="O95" s="27"/>
      <c r="P95" s="27"/>
      <c r="Q95" s="27"/>
      <c r="R95" s="27"/>
      <c r="S95" s="27"/>
      <c r="T95" s="27"/>
      <c r="U95" s="30"/>
      <c r="V95" s="40"/>
      <c r="W95" s="40"/>
      <c r="X95" s="117"/>
      <c r="Y95" s="117"/>
      <c r="Z95" s="117"/>
      <c r="AA95" s="117"/>
      <c r="AB95" s="117"/>
      <c r="AC95" s="117"/>
      <c r="AD95" s="18"/>
      <c r="AE95" s="41"/>
      <c r="AF95" s="49"/>
      <c r="AG95" s="49"/>
      <c r="AH95" s="41"/>
      <c r="AI95" s="41"/>
    </row>
    <row r="96" spans="1:35" s="28" customFormat="1" ht="12.75" x14ac:dyDescent="0.2">
      <c r="A96" s="79"/>
      <c r="B96" s="80"/>
      <c r="C96" s="81"/>
      <c r="D96" s="73"/>
      <c r="E96" s="73"/>
      <c r="F96" s="84"/>
      <c r="G96" s="73"/>
      <c r="H96" s="84"/>
      <c r="I96" s="77"/>
      <c r="J96" s="77"/>
      <c r="K96" s="73"/>
      <c r="L96" s="30"/>
      <c r="M96" s="27"/>
      <c r="N96" s="27"/>
      <c r="O96" s="27"/>
      <c r="P96" s="27"/>
      <c r="Q96" s="27"/>
      <c r="R96" s="27"/>
      <c r="S96" s="27"/>
      <c r="T96" s="27"/>
      <c r="U96" s="30"/>
      <c r="V96" s="40"/>
      <c r="W96" s="40"/>
      <c r="X96" s="117"/>
      <c r="Y96" s="117"/>
      <c r="Z96" s="117"/>
      <c r="AA96" s="117"/>
      <c r="AB96" s="117"/>
      <c r="AC96" s="117"/>
      <c r="AD96" s="18"/>
      <c r="AE96" s="41"/>
      <c r="AF96" s="49"/>
      <c r="AG96" s="49"/>
      <c r="AH96" s="41"/>
      <c r="AI96" s="41"/>
    </row>
    <row r="97" spans="1:35" s="28" customFormat="1" ht="12.75" x14ac:dyDescent="0.2">
      <c r="A97" s="79"/>
      <c r="B97" s="80"/>
      <c r="C97" s="79"/>
      <c r="D97" s="76"/>
      <c r="E97" s="73"/>
      <c r="F97" s="84"/>
      <c r="G97" s="73"/>
      <c r="H97" s="84"/>
      <c r="I97" s="77"/>
      <c r="J97" s="77"/>
      <c r="K97" s="73"/>
      <c r="L97" s="30"/>
      <c r="M97" s="27"/>
      <c r="N97" s="27"/>
      <c r="O97" s="27"/>
      <c r="P97" s="27"/>
      <c r="Q97" s="27"/>
      <c r="R97" s="27"/>
      <c r="S97" s="27"/>
      <c r="T97" s="27"/>
      <c r="U97" s="30"/>
      <c r="V97" s="40"/>
      <c r="W97" s="40"/>
      <c r="X97" s="117"/>
      <c r="Y97" s="117"/>
      <c r="Z97" s="117"/>
      <c r="AA97" s="117"/>
      <c r="AB97" s="117"/>
      <c r="AC97" s="117"/>
      <c r="AD97" s="18"/>
      <c r="AE97" s="5"/>
      <c r="AF97" s="49"/>
      <c r="AG97" s="49"/>
      <c r="AH97" s="5"/>
      <c r="AI97" s="5"/>
    </row>
    <row r="98" spans="1:35" s="28" customFormat="1" ht="12.75" x14ac:dyDescent="0.2">
      <c r="A98" s="79"/>
      <c r="B98" s="77"/>
      <c r="C98" s="77"/>
      <c r="D98" s="77"/>
      <c r="E98" s="73"/>
      <c r="F98" s="84"/>
      <c r="G98" s="73"/>
      <c r="H98" s="84"/>
      <c r="I98" s="77"/>
      <c r="J98" s="77"/>
      <c r="K98" s="79"/>
      <c r="L98" s="30"/>
      <c r="M98" s="27"/>
      <c r="N98" s="27"/>
      <c r="O98" s="27"/>
      <c r="P98" s="27"/>
      <c r="Q98" s="27"/>
      <c r="R98" s="27"/>
      <c r="S98" s="27"/>
      <c r="T98" s="27"/>
      <c r="U98" s="30"/>
      <c r="V98" s="40"/>
      <c r="W98" s="40"/>
      <c r="X98" s="117"/>
      <c r="Y98" s="117"/>
      <c r="Z98" s="117"/>
      <c r="AA98" s="117"/>
      <c r="AB98" s="117"/>
      <c r="AC98" s="117"/>
      <c r="AD98" s="18"/>
      <c r="AE98" s="5"/>
      <c r="AF98" s="49"/>
      <c r="AG98" s="49"/>
      <c r="AH98" s="5"/>
      <c r="AI98" s="51"/>
    </row>
    <row r="99" spans="1:35" s="28" customFormat="1" ht="12.75" x14ac:dyDescent="0.2">
      <c r="A99" s="79"/>
      <c r="B99" s="77"/>
      <c r="C99" s="77"/>
      <c r="D99" s="77"/>
      <c r="E99" s="73"/>
      <c r="F99" s="84"/>
      <c r="G99" s="73"/>
      <c r="H99" s="84"/>
      <c r="I99" s="77"/>
      <c r="J99" s="77"/>
      <c r="K99" s="79"/>
      <c r="L99" s="30"/>
      <c r="M99" s="27"/>
      <c r="N99" s="27"/>
      <c r="O99" s="27"/>
      <c r="P99" s="27"/>
      <c r="Q99" s="27"/>
      <c r="R99" s="27"/>
      <c r="S99" s="27"/>
      <c r="T99" s="27"/>
      <c r="U99" s="30"/>
      <c r="V99" s="40"/>
      <c r="W99" s="40"/>
      <c r="X99" s="117"/>
      <c r="Y99" s="117"/>
      <c r="Z99" s="117"/>
      <c r="AA99" s="117"/>
      <c r="AB99" s="117"/>
      <c r="AC99" s="117"/>
      <c r="AD99" s="18"/>
      <c r="AE99" s="5"/>
      <c r="AF99" s="49"/>
      <c r="AG99" s="49"/>
      <c r="AH99" s="5"/>
      <c r="AI99" s="51"/>
    </row>
    <row r="100" spans="1:35" s="28" customFormat="1" ht="12.75" x14ac:dyDescent="0.2">
      <c r="A100" s="73"/>
      <c r="B100" s="77"/>
      <c r="C100" s="77"/>
      <c r="D100" s="77"/>
      <c r="E100" s="73"/>
      <c r="F100" s="73"/>
      <c r="G100" s="73"/>
      <c r="H100" s="73"/>
      <c r="I100" s="73"/>
      <c r="J100" s="73"/>
      <c r="K100" s="73"/>
      <c r="L100" s="30"/>
      <c r="M100" s="27"/>
      <c r="N100" s="27"/>
      <c r="O100" s="27"/>
      <c r="P100" s="27"/>
      <c r="Q100" s="27"/>
      <c r="R100" s="27"/>
      <c r="S100" s="27"/>
      <c r="T100" s="27"/>
      <c r="U100" s="30"/>
      <c r="V100" s="40"/>
      <c r="W100" s="40"/>
      <c r="X100" s="117"/>
      <c r="Y100" s="117"/>
      <c r="Z100" s="117"/>
      <c r="AA100" s="117"/>
      <c r="AB100" s="117"/>
      <c r="AC100" s="117"/>
      <c r="AD100" s="18"/>
      <c r="AE100" s="5"/>
      <c r="AF100" s="5"/>
      <c r="AG100" s="5"/>
      <c r="AH100" s="5"/>
      <c r="AI100" s="51"/>
    </row>
    <row r="101" spans="1:35" s="28" customFormat="1" ht="12.75" x14ac:dyDescent="0.2">
      <c r="A101" s="73"/>
      <c r="B101" s="77"/>
      <c r="C101" s="77"/>
      <c r="D101" s="77"/>
      <c r="E101" s="73"/>
      <c r="F101" s="73"/>
      <c r="G101" s="73"/>
      <c r="H101" s="73"/>
      <c r="I101" s="73"/>
      <c r="J101" s="73"/>
      <c r="K101" s="73"/>
      <c r="L101" s="30"/>
      <c r="M101" s="27"/>
      <c r="N101" s="27"/>
      <c r="O101" s="27"/>
      <c r="P101" s="27"/>
      <c r="Q101" s="27"/>
      <c r="R101" s="27"/>
      <c r="S101" s="27"/>
      <c r="T101" s="27"/>
      <c r="U101" s="30"/>
      <c r="V101" s="40"/>
      <c r="W101" s="40"/>
      <c r="X101" s="117"/>
      <c r="Y101" s="117"/>
      <c r="Z101" s="117"/>
      <c r="AA101" s="117"/>
      <c r="AB101" s="117"/>
      <c r="AC101" s="117"/>
      <c r="AD101" s="18"/>
      <c r="AE101" s="5"/>
      <c r="AF101" s="5"/>
      <c r="AG101" s="5"/>
      <c r="AH101" s="5"/>
      <c r="AI101" s="51"/>
    </row>
    <row r="102" spans="1:35" s="28" customFormat="1" ht="12.75" x14ac:dyDescent="0.2">
      <c r="A102" s="80"/>
      <c r="B102" s="80"/>
      <c r="C102" s="163"/>
      <c r="D102" s="77"/>
      <c r="E102" s="73"/>
      <c r="F102" s="73"/>
      <c r="G102" s="73"/>
      <c r="H102" s="73"/>
      <c r="I102" s="73"/>
      <c r="J102" s="73"/>
      <c r="K102" s="73"/>
      <c r="L102" s="30"/>
      <c r="M102" s="27"/>
      <c r="N102" s="27"/>
      <c r="O102" s="27"/>
      <c r="P102" s="27"/>
      <c r="Q102" s="27"/>
      <c r="R102" s="27"/>
      <c r="S102" s="27"/>
      <c r="T102" s="27"/>
      <c r="U102" s="30"/>
      <c r="V102" s="40"/>
      <c r="W102" s="40"/>
      <c r="X102" s="117"/>
      <c r="Y102" s="117"/>
      <c r="Z102" s="117"/>
      <c r="AA102" s="117"/>
      <c r="AB102" s="117"/>
      <c r="AC102" s="117"/>
      <c r="AD102" s="18"/>
      <c r="AE102" s="5"/>
      <c r="AF102" s="5"/>
      <c r="AG102" s="5"/>
      <c r="AH102" s="5"/>
      <c r="AI102" s="5"/>
    </row>
    <row r="103" spans="1:35" s="28" customFormat="1" ht="12.75" x14ac:dyDescent="0.2">
      <c r="A103" s="76"/>
      <c r="B103" s="76"/>
      <c r="C103" s="89"/>
      <c r="D103" s="88"/>
      <c r="E103" s="73"/>
      <c r="F103" s="76"/>
      <c r="G103" s="78"/>
      <c r="H103" s="73"/>
      <c r="I103" s="77"/>
      <c r="J103" s="73"/>
      <c r="K103" s="73"/>
      <c r="L103" s="30"/>
      <c r="M103" s="27"/>
      <c r="N103" s="27"/>
      <c r="O103" s="27"/>
      <c r="P103" s="27"/>
      <c r="Q103" s="27"/>
      <c r="R103" s="27"/>
      <c r="S103" s="27"/>
      <c r="T103" s="27"/>
      <c r="U103" s="30"/>
      <c r="V103" s="40"/>
      <c r="W103" s="40"/>
      <c r="X103" s="117"/>
      <c r="Y103" s="117"/>
      <c r="Z103" s="117"/>
      <c r="AA103" s="117"/>
      <c r="AB103" s="117"/>
      <c r="AC103" s="117"/>
      <c r="AD103" s="18"/>
      <c r="AE103" s="5"/>
      <c r="AF103" s="5"/>
      <c r="AG103" s="5"/>
      <c r="AH103" s="51"/>
      <c r="AI103" s="5"/>
    </row>
    <row r="104" spans="1:35" s="28" customFormat="1" ht="12.75" x14ac:dyDescent="0.2">
      <c r="A104" s="80"/>
      <c r="B104" s="77"/>
      <c r="C104" s="77"/>
      <c r="D104" s="88"/>
      <c r="E104" s="73"/>
      <c r="F104" s="76"/>
      <c r="G104" s="73"/>
      <c r="H104" s="73"/>
      <c r="I104" s="77"/>
      <c r="J104" s="81"/>
      <c r="K104" s="81"/>
      <c r="L104" s="30"/>
      <c r="M104" s="27"/>
      <c r="N104" s="27"/>
      <c r="O104" s="27"/>
      <c r="P104" s="27"/>
      <c r="Q104" s="27"/>
      <c r="R104" s="27"/>
      <c r="S104" s="27"/>
      <c r="T104" s="27"/>
      <c r="U104" s="30"/>
      <c r="V104" s="40"/>
      <c r="W104" s="40"/>
      <c r="X104" s="117"/>
      <c r="Y104" s="117"/>
      <c r="Z104" s="117"/>
      <c r="AA104" s="117"/>
      <c r="AB104" s="117"/>
      <c r="AC104" s="117"/>
      <c r="AD104" s="18"/>
      <c r="AE104" s="5"/>
      <c r="AF104" s="5"/>
      <c r="AG104" s="5"/>
      <c r="AH104" s="5"/>
      <c r="AI104" s="5"/>
    </row>
    <row r="105" spans="1:35" s="28" customFormat="1" ht="12.75" x14ac:dyDescent="0.2">
      <c r="A105" s="80"/>
      <c r="C105" s="77"/>
      <c r="D105" s="77"/>
      <c r="E105" s="77" t="s">
        <v>179</v>
      </c>
      <c r="F105" s="73"/>
      <c r="G105" s="80"/>
      <c r="H105" s="81"/>
      <c r="I105" s="77"/>
      <c r="J105" s="81"/>
      <c r="K105" s="81"/>
      <c r="L105" s="30"/>
      <c r="M105" s="27"/>
      <c r="N105" s="27"/>
      <c r="O105" s="27"/>
      <c r="P105" s="27"/>
      <c r="Q105" s="27"/>
      <c r="R105" s="27"/>
      <c r="S105" s="27"/>
      <c r="T105" s="27"/>
      <c r="U105" s="30"/>
      <c r="V105" s="40"/>
      <c r="W105" s="40"/>
      <c r="X105" s="30"/>
      <c r="Y105" s="52"/>
      <c r="Z105" s="52"/>
      <c r="AA105" s="52"/>
      <c r="AB105" s="52"/>
      <c r="AC105" s="52"/>
      <c r="AD105" s="5"/>
      <c r="AE105" s="5"/>
      <c r="AF105" s="5"/>
      <c r="AG105" s="5"/>
      <c r="AH105" s="5"/>
      <c r="AI105" s="5"/>
    </row>
    <row r="106" spans="1:35" s="28" customFormat="1" ht="12.75" x14ac:dyDescent="0.2">
      <c r="A106" s="73"/>
      <c r="C106" s="77"/>
      <c r="D106" s="77"/>
      <c r="E106" s="77" t="s">
        <v>180</v>
      </c>
      <c r="F106" s="80"/>
      <c r="G106" s="77"/>
      <c r="H106" s="77"/>
      <c r="I106" s="73"/>
      <c r="J106" s="73"/>
      <c r="K106" s="73"/>
      <c r="L106" s="30"/>
      <c r="M106" s="27"/>
      <c r="N106" s="27"/>
      <c r="O106" s="27"/>
      <c r="P106" s="27"/>
      <c r="Q106" s="27"/>
      <c r="R106" s="27"/>
      <c r="S106" s="27"/>
      <c r="T106" s="27"/>
      <c r="U106" s="30"/>
      <c r="V106" s="40"/>
      <c r="W106" s="40"/>
      <c r="X106" s="30"/>
      <c r="Y106" s="52"/>
      <c r="Z106" s="18"/>
      <c r="AA106" s="41"/>
      <c r="AB106" s="5"/>
      <c r="AC106" s="5"/>
      <c r="AD106" s="5"/>
      <c r="AE106" s="5"/>
      <c r="AF106" s="5"/>
      <c r="AG106" s="5"/>
      <c r="AH106" s="5"/>
      <c r="AI106" s="5"/>
    </row>
    <row r="107" spans="1:35" s="28" customFormat="1" ht="12.75" x14ac:dyDescent="0.2">
      <c r="A107" s="73"/>
      <c r="B107" s="76"/>
      <c r="C107" s="77"/>
      <c r="D107" s="73"/>
      <c r="E107" s="76"/>
      <c r="F107" s="111"/>
      <c r="G107" s="110"/>
      <c r="H107" s="77"/>
      <c r="I107" s="73"/>
      <c r="J107" s="73"/>
      <c r="K107" s="73"/>
      <c r="L107" s="30"/>
      <c r="M107" s="27"/>
      <c r="N107" s="27"/>
      <c r="O107" s="27"/>
      <c r="P107" s="27"/>
      <c r="Q107" s="27"/>
      <c r="R107" s="27"/>
      <c r="S107" s="27"/>
      <c r="T107" s="27"/>
      <c r="U107" s="30"/>
      <c r="V107" s="40"/>
      <c r="W107" s="40"/>
      <c r="X107" s="30"/>
      <c r="Y107" s="18"/>
      <c r="Z107" s="51"/>
      <c r="AA107" s="55"/>
      <c r="AB107" s="51"/>
      <c r="AC107" s="5"/>
      <c r="AD107" s="5"/>
      <c r="AE107" s="5"/>
      <c r="AF107" s="5"/>
      <c r="AG107" s="5"/>
      <c r="AH107" s="5"/>
      <c r="AI107" s="5"/>
    </row>
    <row r="108" spans="1:35" s="28" customFormat="1" ht="12.75" x14ac:dyDescent="0.2">
      <c r="A108" s="73"/>
      <c r="C108" s="95"/>
      <c r="D108" s="110"/>
      <c r="E108" s="80" t="s">
        <v>181</v>
      </c>
      <c r="F108" s="158">
        <f>AO51</f>
        <v>215.47582006920422</v>
      </c>
      <c r="G108" s="73" t="s">
        <v>143</v>
      </c>
      <c r="H108" s="77"/>
      <c r="I108" s="73"/>
      <c r="J108" s="73"/>
      <c r="K108" s="73"/>
      <c r="L108" s="30"/>
      <c r="M108" s="27"/>
      <c r="N108" s="27"/>
      <c r="O108" s="27"/>
      <c r="P108" s="27"/>
      <c r="Q108" s="27"/>
      <c r="R108" s="27"/>
      <c r="S108" s="27"/>
      <c r="T108" s="27"/>
      <c r="U108" s="30"/>
      <c r="V108" s="40"/>
      <c r="W108" s="40"/>
      <c r="X108" s="30"/>
      <c r="Y108" s="18"/>
      <c r="Z108" s="5"/>
      <c r="AA108" s="41"/>
      <c r="AB108" s="5"/>
      <c r="AC108" s="5"/>
      <c r="AD108" s="5"/>
      <c r="AE108" s="5"/>
      <c r="AF108" s="5"/>
      <c r="AG108" s="5"/>
      <c r="AH108" s="5"/>
      <c r="AI108" s="5"/>
    </row>
    <row r="109" spans="1:35" s="28" customFormat="1" ht="12.75" x14ac:dyDescent="0.2">
      <c r="A109" s="73"/>
      <c r="C109" s="77"/>
      <c r="D109" s="77"/>
      <c r="E109" s="80" t="s">
        <v>182</v>
      </c>
      <c r="F109" s="158">
        <f>AP51</f>
        <v>3.4715881313341006</v>
      </c>
      <c r="G109" s="73" t="s">
        <v>183</v>
      </c>
      <c r="H109" s="77"/>
      <c r="I109" s="73"/>
      <c r="J109" s="73"/>
      <c r="K109" s="73"/>
      <c r="L109" s="30"/>
      <c r="M109" s="27"/>
      <c r="N109" s="27"/>
      <c r="O109" s="27"/>
      <c r="P109" s="27"/>
      <c r="Q109" s="27"/>
      <c r="R109" s="27"/>
      <c r="S109" s="27"/>
      <c r="T109" s="27"/>
      <c r="U109" s="30"/>
      <c r="V109" s="40"/>
      <c r="W109" s="40"/>
      <c r="X109" s="30"/>
      <c r="Y109" s="5"/>
      <c r="Z109" s="5"/>
      <c r="AA109" s="5"/>
      <c r="AB109" s="5"/>
      <c r="AC109" s="5"/>
      <c r="AD109" s="5"/>
      <c r="AE109" s="5"/>
      <c r="AF109" s="5"/>
      <c r="AG109" s="5"/>
      <c r="AH109" s="5"/>
      <c r="AI109" s="5"/>
    </row>
    <row r="110" spans="1:35" s="28" customFormat="1" ht="12.75" x14ac:dyDescent="0.2">
      <c r="L110" s="30"/>
      <c r="M110" s="27"/>
      <c r="N110" s="27"/>
      <c r="O110" s="27"/>
      <c r="P110" s="27"/>
      <c r="Q110" s="27"/>
      <c r="R110" s="27"/>
      <c r="S110" s="27"/>
      <c r="T110" s="27"/>
      <c r="U110" s="30"/>
      <c r="V110" s="40"/>
      <c r="W110" s="40"/>
      <c r="X110" s="30"/>
    </row>
    <row r="111" spans="1:35" s="28" customFormat="1" ht="12.75" x14ac:dyDescent="0.2">
      <c r="B111" s="28" t="s">
        <v>251</v>
      </c>
      <c r="L111" s="30"/>
      <c r="M111" s="27"/>
      <c r="N111" s="27"/>
      <c r="O111" s="27"/>
      <c r="P111" s="27"/>
      <c r="Q111" s="27"/>
      <c r="R111" s="27"/>
      <c r="S111" s="27"/>
      <c r="T111" s="27"/>
      <c r="U111" s="30"/>
      <c r="V111" s="40"/>
      <c r="W111" s="40"/>
      <c r="X111" s="30"/>
    </row>
    <row r="112" spans="1:35" s="28" customFormat="1" ht="12.75" x14ac:dyDescent="0.2">
      <c r="L112" s="30"/>
      <c r="M112" s="27"/>
      <c r="N112" s="27"/>
      <c r="O112" s="27"/>
      <c r="P112" s="27"/>
      <c r="Q112" s="27"/>
      <c r="R112" s="27"/>
      <c r="S112" s="27"/>
      <c r="T112" s="27"/>
      <c r="U112" s="30"/>
      <c r="V112" s="56"/>
      <c r="W112" s="40"/>
      <c r="X112" s="30"/>
    </row>
    <row r="113" spans="1:24" s="28" customFormat="1" ht="12.75" x14ac:dyDescent="0.2">
      <c r="A113" s="5"/>
      <c r="B113" s="46"/>
      <c r="C113" s="53"/>
      <c r="D113" s="43"/>
      <c r="E113" s="49"/>
      <c r="F113" s="40"/>
      <c r="G113" s="5"/>
      <c r="H113" s="49"/>
      <c r="I113" s="40"/>
      <c r="J113" s="47"/>
      <c r="K113" s="47"/>
      <c r="L113" s="30"/>
      <c r="M113" s="27"/>
      <c r="N113" s="27"/>
      <c r="O113" s="27"/>
      <c r="P113" s="27"/>
      <c r="Q113" s="27"/>
      <c r="R113" s="27"/>
      <c r="S113" s="27"/>
      <c r="T113" s="27"/>
      <c r="U113" s="30"/>
      <c r="V113" s="5"/>
      <c r="W113" s="5"/>
      <c r="X113" s="30"/>
    </row>
    <row r="114" spans="1:24" s="28" customFormat="1" ht="12.75" x14ac:dyDescent="0.2">
      <c r="A114" s="58"/>
      <c r="B114" s="59"/>
      <c r="C114" s="60"/>
      <c r="D114" s="58"/>
      <c r="E114" s="58"/>
      <c r="F114" s="58"/>
      <c r="G114" s="60"/>
      <c r="H114" s="58"/>
      <c r="I114" s="58"/>
      <c r="J114" s="58"/>
      <c r="K114" s="58"/>
      <c r="L114" s="30"/>
      <c r="M114" s="27"/>
      <c r="N114" s="27"/>
      <c r="O114" s="27"/>
      <c r="P114" s="27"/>
      <c r="Q114" s="27"/>
      <c r="R114" s="27"/>
      <c r="S114" s="27"/>
      <c r="T114" s="27"/>
      <c r="U114" s="30"/>
      <c r="V114" s="30"/>
      <c r="W114" s="30"/>
      <c r="X114" s="30"/>
    </row>
    <row r="115" spans="1:24" s="28" customFormat="1" ht="12.75" x14ac:dyDescent="0.2">
      <c r="A115" s="58"/>
      <c r="B115" s="59"/>
      <c r="C115" s="60"/>
      <c r="D115" s="58"/>
      <c r="E115" s="58"/>
      <c r="F115" s="58"/>
      <c r="G115" s="60"/>
      <c r="H115" s="58"/>
      <c r="I115" s="58"/>
      <c r="J115" s="58"/>
      <c r="K115" s="58"/>
      <c r="L115" s="30"/>
      <c r="M115" s="27"/>
      <c r="N115" s="27"/>
      <c r="O115" s="27"/>
      <c r="P115" s="27"/>
      <c r="Q115" s="27"/>
      <c r="R115" s="27"/>
      <c r="S115" s="27"/>
      <c r="T115" s="27"/>
      <c r="U115" s="30"/>
      <c r="V115" s="30"/>
      <c r="W115" s="30"/>
      <c r="X115" s="30"/>
    </row>
    <row r="116" spans="1:24" s="28" customFormat="1" ht="12.75" x14ac:dyDescent="0.2">
      <c r="A116" s="58"/>
      <c r="B116" s="59"/>
      <c r="C116" s="60"/>
      <c r="D116" s="58"/>
      <c r="E116" s="58"/>
      <c r="F116" s="58"/>
      <c r="G116" s="60"/>
      <c r="H116" s="58"/>
      <c r="I116" s="58"/>
      <c r="J116" s="58"/>
      <c r="K116" s="58"/>
      <c r="L116" s="30"/>
      <c r="M116" s="27"/>
      <c r="N116" s="27"/>
      <c r="O116" s="27"/>
      <c r="P116" s="27"/>
      <c r="Q116" s="27"/>
      <c r="R116" s="27"/>
      <c r="S116" s="27"/>
      <c r="T116" s="27"/>
      <c r="U116" s="30"/>
      <c r="V116" s="30"/>
      <c r="W116" s="30"/>
      <c r="X116" s="30"/>
    </row>
    <row r="117" spans="1:24" s="28" customFormat="1" ht="12.75" x14ac:dyDescent="0.2">
      <c r="A117" s="58"/>
      <c r="B117" s="59"/>
      <c r="C117" s="60"/>
      <c r="D117" s="58"/>
      <c r="E117" s="58"/>
      <c r="F117" s="58"/>
      <c r="G117" s="60"/>
      <c r="H117" s="58"/>
      <c r="I117" s="58"/>
      <c r="J117" s="58"/>
      <c r="K117" s="58"/>
      <c r="L117" s="30"/>
      <c r="M117" s="27"/>
      <c r="N117" s="27"/>
      <c r="O117" s="27"/>
      <c r="P117" s="27"/>
      <c r="Q117" s="27"/>
      <c r="R117" s="27"/>
      <c r="S117" s="27"/>
      <c r="T117" s="27"/>
      <c r="U117" s="30"/>
      <c r="V117" s="30"/>
      <c r="W117" s="30"/>
      <c r="X117" s="30"/>
    </row>
    <row r="118" spans="1:24" s="28" customFormat="1" ht="12.75" x14ac:dyDescent="0.2">
      <c r="A118" s="58"/>
      <c r="B118" s="59"/>
      <c r="C118" s="60"/>
      <c r="D118" s="58"/>
      <c r="E118" s="58"/>
      <c r="F118" s="58"/>
      <c r="G118" s="60"/>
      <c r="H118" s="58"/>
      <c r="I118" s="58"/>
      <c r="J118" s="58"/>
      <c r="K118" s="58"/>
      <c r="L118" s="30"/>
      <c r="M118" s="27"/>
      <c r="N118" s="27"/>
      <c r="O118" s="27"/>
      <c r="P118" s="27"/>
      <c r="Q118" s="27"/>
      <c r="R118" s="27"/>
      <c r="S118" s="27"/>
      <c r="T118" s="27"/>
      <c r="U118" s="30"/>
      <c r="V118" s="30"/>
      <c r="W118" s="30"/>
      <c r="X118" s="30"/>
    </row>
    <row r="119" spans="1:24" s="28" customFormat="1" ht="12.75" x14ac:dyDescent="0.2">
      <c r="A119" s="58"/>
      <c r="B119" s="59"/>
      <c r="C119" s="60"/>
      <c r="D119" s="58"/>
      <c r="E119" s="58"/>
      <c r="F119" s="58"/>
      <c r="G119" s="60"/>
      <c r="H119" s="58"/>
      <c r="I119" s="58"/>
      <c r="J119" s="58"/>
      <c r="K119" s="58"/>
      <c r="L119" s="30"/>
      <c r="M119" s="27"/>
      <c r="N119" s="27"/>
      <c r="O119" s="27"/>
      <c r="P119" s="27"/>
      <c r="Q119" s="27"/>
      <c r="R119" s="27"/>
      <c r="S119" s="27"/>
      <c r="T119" s="27"/>
      <c r="U119" s="30"/>
      <c r="V119" s="30"/>
      <c r="W119" s="30"/>
      <c r="X119" s="30"/>
    </row>
    <row r="120" spans="1:24" s="28" customFormat="1" ht="12.75" x14ac:dyDescent="0.2">
      <c r="A120" s="145" t="s">
        <v>118</v>
      </c>
      <c r="B120" s="146"/>
      <c r="C120" s="146"/>
      <c r="D120" s="146"/>
      <c r="E120" s="146"/>
      <c r="F120" s="146"/>
      <c r="G120" s="147"/>
      <c r="H120" s="147"/>
      <c r="I120" s="147"/>
      <c r="J120" s="147"/>
      <c r="K120" s="148"/>
      <c r="L120" s="30"/>
      <c r="M120" s="27"/>
      <c r="N120" s="27"/>
      <c r="O120" s="27"/>
      <c r="P120" s="27"/>
      <c r="Q120" s="27"/>
      <c r="R120" s="27"/>
      <c r="S120" s="27"/>
      <c r="T120" s="27"/>
      <c r="U120" s="30"/>
      <c r="V120" s="30"/>
      <c r="W120" s="30"/>
      <c r="X120" s="30"/>
    </row>
    <row r="121" spans="1:24" s="28" customFormat="1" ht="12.75" x14ac:dyDescent="0.2">
      <c r="A121" s="149"/>
      <c r="B121" s="149"/>
      <c r="C121" s="149"/>
      <c r="D121" s="150"/>
      <c r="E121" s="150"/>
      <c r="F121" s="151" t="s">
        <v>119</v>
      </c>
      <c r="G121" s="152" t="s">
        <v>120</v>
      </c>
      <c r="H121" s="153"/>
      <c r="I121" s="154"/>
      <c r="J121" s="154"/>
      <c r="K121" s="155"/>
      <c r="L121" s="30"/>
      <c r="M121" s="27"/>
      <c r="N121" s="27"/>
      <c r="O121" s="27"/>
      <c r="P121" s="27"/>
      <c r="Q121" s="27"/>
      <c r="R121" s="27"/>
      <c r="S121" s="27"/>
      <c r="T121" s="27"/>
      <c r="U121" s="30"/>
      <c r="V121" s="30"/>
      <c r="W121" s="30"/>
      <c r="X121" s="30"/>
    </row>
    <row r="122" spans="1:24" s="26" customFormat="1" ht="12.75" x14ac:dyDescent="0.2">
      <c r="M122" s="27"/>
      <c r="N122" s="27"/>
      <c r="O122" s="27"/>
      <c r="P122" s="27"/>
      <c r="Q122" s="27"/>
      <c r="R122" s="27"/>
      <c r="S122" s="27"/>
      <c r="T122" s="27"/>
    </row>
    <row r="123" spans="1:24" s="26" customFormat="1" ht="12.75" x14ac:dyDescent="0.2">
      <c r="M123" s="27"/>
      <c r="N123" s="27"/>
      <c r="O123" s="27"/>
      <c r="P123" s="27"/>
      <c r="Q123" s="27"/>
      <c r="R123" s="27"/>
      <c r="S123" s="27"/>
      <c r="T123" s="27"/>
    </row>
    <row r="124" spans="1:24" s="26" customFormat="1" ht="12.75" x14ac:dyDescent="0.2">
      <c r="M124" s="27"/>
      <c r="N124" s="27"/>
      <c r="O124" s="27"/>
      <c r="P124" s="27"/>
      <c r="Q124" s="27"/>
      <c r="R124" s="27"/>
      <c r="S124" s="27"/>
      <c r="T124" s="27"/>
    </row>
    <row r="125" spans="1:24" s="26" customFormat="1" ht="12.75" x14ac:dyDescent="0.2">
      <c r="M125" s="27"/>
      <c r="N125" s="27"/>
      <c r="O125" s="27"/>
      <c r="P125" s="27"/>
      <c r="Q125" s="27"/>
      <c r="R125" s="27"/>
      <c r="S125" s="27"/>
      <c r="T125" s="27"/>
    </row>
    <row r="126" spans="1:24" s="26" customFormat="1" ht="12.75" x14ac:dyDescent="0.2">
      <c r="M126" s="27"/>
      <c r="N126" s="27"/>
      <c r="O126" s="27"/>
      <c r="P126" s="27"/>
      <c r="Q126" s="27"/>
      <c r="R126" s="27"/>
      <c r="S126" s="27"/>
      <c r="T126" s="27"/>
    </row>
    <row r="127" spans="1:24" s="26" customFormat="1" ht="12.75" x14ac:dyDescent="0.2">
      <c r="M127" s="27"/>
      <c r="N127" s="27"/>
      <c r="O127" s="27"/>
      <c r="P127" s="27"/>
      <c r="Q127" s="27"/>
      <c r="R127" s="27"/>
      <c r="S127" s="27"/>
      <c r="T127" s="27"/>
    </row>
    <row r="128" spans="1:24"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sheetData>
  <dataValidations count="1">
    <dataValidation type="list" allowBlank="1" showInputMessage="1" showErrorMessage="1" sqref="C100">
      <formula1>"Normal,Utility,Acrobatic"</formula1>
    </dataValidation>
  </dataValidations>
  <hyperlinks>
    <hyperlink ref="G64" r:id="rId1"/>
    <hyperlink ref="G121" r:id="rId2"/>
  </hyperlinks>
  <pageMargins left="0.47244094488188998" right="0.23622047244094499" top="0.31496062992126" bottom="0.25" header="0.43307086614173201" footer="0.25"/>
  <pageSetup orientation="portrait" r:id="rId3"/>
  <headerFooter alignWithMargins="0"/>
  <rowBreaks count="1" manualBreakCount="1">
    <brk id="64" max="10"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7521"/>
  <sheetViews>
    <sheetView view="pageBreakPreview" zoomScale="70" zoomScaleNormal="100" zoomScaleSheetLayoutView="70" workbookViewId="0">
      <selection activeCell="B1" sqref="B1:H6"/>
    </sheetView>
  </sheetViews>
  <sheetFormatPr defaultColWidth="9.140625" defaultRowHeight="15.75" x14ac:dyDescent="0.25"/>
  <cols>
    <col min="1" max="1" width="9.140625" style="25"/>
    <col min="2" max="2" width="9.28515625" style="25" customWidth="1"/>
    <col min="3" max="3" width="9.5703125" style="25" customWidth="1"/>
    <col min="4" max="11" width="9.140625" style="25"/>
    <col min="12" max="12" width="5.42578125" style="26" customWidth="1"/>
    <col min="13" max="20" width="4.140625" style="27" customWidth="1"/>
    <col min="21" max="23" width="9.140625" style="25"/>
    <col min="24" max="24" width="8.28515625" style="25" customWidth="1"/>
    <col min="25" max="28" width="9.140625" style="25"/>
    <col min="29" max="42" width="9.28515625" style="25" bestFit="1" customWidth="1"/>
    <col min="43" max="43" width="9.7109375" style="25" bestFit="1" customWidth="1"/>
    <col min="44" max="64" width="9.28515625" style="25" bestFit="1" customWidth="1"/>
    <col min="65" max="65" width="9.7109375" style="25" bestFit="1" customWidth="1"/>
    <col min="66" max="77" width="9.28515625" style="25" bestFit="1" customWidth="1"/>
    <col min="78" max="16384" width="9.140625" style="25"/>
  </cols>
  <sheetData>
    <row r="1" spans="1:103" s="5" customFormat="1" ht="12.75" x14ac:dyDescent="0.2">
      <c r="A1" s="1"/>
      <c r="B1" s="2" t="s">
        <v>1</v>
      </c>
      <c r="C1" s="3" t="str">
        <f>Analysis!C1</f>
        <v>R. Abbott</v>
      </c>
      <c r="D1" s="1"/>
      <c r="E1" s="1"/>
      <c r="F1" s="2" t="s">
        <v>11</v>
      </c>
      <c r="G1" s="3">
        <f>Analysis!G1</f>
        <v>17</v>
      </c>
      <c r="H1" s="1"/>
      <c r="I1" s="1"/>
      <c r="J1" s="1"/>
      <c r="K1" s="1"/>
      <c r="M1" s="6" t="s">
        <v>12</v>
      </c>
      <c r="N1" s="6" t="s">
        <v>13</v>
      </c>
      <c r="O1" s="6" t="s">
        <v>14</v>
      </c>
      <c r="P1" s="6" t="s">
        <v>14</v>
      </c>
      <c r="Q1" s="6" t="s">
        <v>14</v>
      </c>
      <c r="R1" s="6" t="s">
        <v>15</v>
      </c>
      <c r="S1" s="32" t="s">
        <v>16</v>
      </c>
      <c r="T1" s="33" t="s">
        <v>17</v>
      </c>
      <c r="W1" s="7" t="s">
        <v>18</v>
      </c>
      <c r="X1" s="8">
        <f>SUM(M:M)</f>
        <v>10</v>
      </c>
    </row>
    <row r="2" spans="1:103" s="5" customFormat="1" ht="12.75" x14ac:dyDescent="0.2">
      <c r="A2" s="1"/>
      <c r="B2" s="2" t="s">
        <v>2</v>
      </c>
      <c r="C2" s="3" t="s">
        <v>10</v>
      </c>
      <c r="D2" s="1"/>
      <c r="E2" s="1"/>
      <c r="F2" s="2" t="s">
        <v>5</v>
      </c>
      <c r="G2" s="3" t="str">
        <f>Analysis!G2</f>
        <v>AA-SM-515-000</v>
      </c>
      <c r="H2" s="1"/>
      <c r="I2" s="1"/>
      <c r="J2" s="1"/>
      <c r="K2" s="1"/>
      <c r="M2" s="9" t="s">
        <v>19</v>
      </c>
      <c r="N2" s="9" t="s">
        <v>19</v>
      </c>
      <c r="O2" s="9" t="s">
        <v>13</v>
      </c>
      <c r="P2" s="9" t="s">
        <v>13</v>
      </c>
      <c r="Q2" s="9" t="s">
        <v>13</v>
      </c>
      <c r="R2" s="9" t="s">
        <v>19</v>
      </c>
      <c r="S2" s="34" t="s">
        <v>19</v>
      </c>
      <c r="T2" s="35"/>
      <c r="W2" s="7" t="s">
        <v>20</v>
      </c>
      <c r="X2" s="8">
        <f>SUM(N:N)</f>
        <v>0</v>
      </c>
    </row>
    <row r="3" spans="1:103" s="5" customFormat="1" ht="12.75" x14ac:dyDescent="0.2">
      <c r="A3" s="1"/>
      <c r="B3" s="2" t="s">
        <v>3</v>
      </c>
      <c r="C3" s="3" t="str">
        <f>Analysis!C3</f>
        <v>05/03/2017</v>
      </c>
      <c r="D3" s="1"/>
      <c r="E3" s="1"/>
      <c r="F3" s="2" t="s">
        <v>4</v>
      </c>
      <c r="G3" s="3" t="str">
        <f>Analysis!G3</f>
        <v>IR</v>
      </c>
      <c r="H3" s="1"/>
      <c r="I3" s="1"/>
      <c r="J3" s="1"/>
      <c r="K3" s="1"/>
      <c r="M3" s="9"/>
      <c r="N3" s="9"/>
      <c r="O3" s="9"/>
      <c r="P3" s="9"/>
      <c r="Q3" s="9"/>
      <c r="R3" s="9"/>
      <c r="S3" s="34"/>
      <c r="T3" s="35"/>
      <c r="W3" s="7" t="s">
        <v>22</v>
      </c>
      <c r="X3" s="8">
        <f>SUM(O:O)</f>
        <v>0</v>
      </c>
    </row>
    <row r="4" spans="1:103" s="5" customFormat="1" ht="12.75" x14ac:dyDescent="0.2">
      <c r="A4" s="1"/>
      <c r="B4" s="2" t="s">
        <v>23</v>
      </c>
      <c r="C4" s="3"/>
      <c r="D4" s="1"/>
      <c r="E4" s="1"/>
      <c r="F4" s="2" t="s">
        <v>24</v>
      </c>
      <c r="G4" s="3" t="str">
        <f>Analysis!G4</f>
        <v>SIMPLIFIED PART 23 AIRCRAFT LOADS</v>
      </c>
      <c r="H4" s="1"/>
      <c r="I4" s="1"/>
      <c r="J4" s="1"/>
      <c r="K4" s="1"/>
      <c r="M4" s="9">
        <f>SUM('Aileron Load'!M:M)</f>
        <v>8</v>
      </c>
      <c r="N4" s="9"/>
      <c r="O4" s="9"/>
      <c r="P4" s="9"/>
      <c r="Q4" s="11"/>
      <c r="R4" s="12"/>
      <c r="S4" s="36"/>
      <c r="T4" s="35"/>
      <c r="W4" s="7" t="s">
        <v>22</v>
      </c>
      <c r="X4" s="8">
        <f>SUM(P:P)</f>
        <v>0</v>
      </c>
    </row>
    <row r="5" spans="1:103" s="5" customFormat="1" ht="12.75" x14ac:dyDescent="0.2">
      <c r="A5" s="1"/>
      <c r="B5" s="2" t="s">
        <v>26</v>
      </c>
      <c r="C5" s="3" t="str">
        <f>Analysis!C5</f>
        <v>STANDARD SPREADSHEET METHOD</v>
      </c>
      <c r="D5" s="1"/>
      <c r="E5" s="2"/>
      <c r="F5" s="1"/>
      <c r="G5" s="1"/>
      <c r="H5" s="1"/>
      <c r="I5" s="1"/>
      <c r="J5" s="1"/>
      <c r="K5" s="1"/>
      <c r="M5" s="9"/>
      <c r="N5" s="9"/>
      <c r="O5" s="9"/>
      <c r="P5" s="9"/>
      <c r="Q5" s="11"/>
      <c r="R5" s="12"/>
      <c r="S5" s="36"/>
      <c r="T5" s="35"/>
      <c r="W5" s="7" t="s">
        <v>22</v>
      </c>
      <c r="X5" s="8">
        <f>SUM(Q:Q)</f>
        <v>0</v>
      </c>
    </row>
    <row r="6" spans="1:103"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103" s="5" customFormat="1" ht="12.75" x14ac:dyDescent="0.2">
      <c r="A7" s="1"/>
      <c r="B7" s="1"/>
      <c r="C7" s="1"/>
      <c r="D7" s="1"/>
      <c r="E7" s="1"/>
      <c r="F7" s="1"/>
      <c r="G7" s="1"/>
      <c r="H7" s="1"/>
      <c r="I7" s="1"/>
      <c r="J7" s="1"/>
      <c r="K7" s="1"/>
      <c r="M7" s="9"/>
      <c r="N7" s="9"/>
      <c r="O7" s="9"/>
      <c r="P7" s="9"/>
      <c r="Q7" s="11"/>
      <c r="R7" s="12"/>
      <c r="S7" s="36"/>
      <c r="T7" s="35"/>
      <c r="W7" s="7" t="s">
        <v>28</v>
      </c>
      <c r="X7" s="8">
        <f>SUM(S:S)</f>
        <v>0</v>
      </c>
    </row>
    <row r="8" spans="1:103" s="5" customFormat="1" ht="12.75" x14ac:dyDescent="0.2">
      <c r="A8" s="14"/>
      <c r="E8" s="7" t="s">
        <v>1</v>
      </c>
      <c r="F8" s="8" t="str">
        <f>$C$1</f>
        <v>R. Abbott</v>
      </c>
      <c r="H8" s="15"/>
      <c r="I8" s="7" t="s">
        <v>8</v>
      </c>
      <c r="J8" s="16" t="str">
        <f>$G$2</f>
        <v>AA-SM-515-000</v>
      </c>
      <c r="K8" s="17"/>
      <c r="L8" s="18"/>
      <c r="M8" s="9"/>
      <c r="N8" s="9"/>
      <c r="O8" s="9"/>
      <c r="P8" s="9"/>
      <c r="Q8" s="11"/>
      <c r="R8" s="12"/>
      <c r="S8" s="36"/>
      <c r="T8" s="35"/>
    </row>
    <row r="9" spans="1:103" s="5" customFormat="1" ht="12.75" x14ac:dyDescent="0.2">
      <c r="E9" s="7" t="s">
        <v>2</v>
      </c>
      <c r="F9" s="15" t="str">
        <f>$C$2</f>
        <v xml:space="preserve"> </v>
      </c>
      <c r="H9" s="15"/>
      <c r="I9" s="7" t="s">
        <v>9</v>
      </c>
      <c r="J9" s="17" t="str">
        <f>$G$3</f>
        <v>IR</v>
      </c>
      <c r="K9" s="17"/>
      <c r="L9" s="18"/>
      <c r="M9" s="9">
        <v>1</v>
      </c>
      <c r="N9" s="9"/>
      <c r="O9" s="9"/>
      <c r="P9" s="9"/>
      <c r="Q9" s="11"/>
      <c r="R9" s="12"/>
      <c r="S9" s="36"/>
      <c r="T9" s="35"/>
    </row>
    <row r="10" spans="1:103" s="5" customFormat="1" ht="12.75" x14ac:dyDescent="0.2">
      <c r="E10" s="7" t="s">
        <v>3</v>
      </c>
      <c r="F10" s="15" t="str">
        <f>$C$3</f>
        <v>05/03/2017</v>
      </c>
      <c r="H10" s="15"/>
      <c r="I10" s="7" t="s">
        <v>6</v>
      </c>
      <c r="J10" s="8" t="str">
        <f>L10&amp;" of "&amp;$G$1</f>
        <v>9 of 17</v>
      </c>
      <c r="K10" s="15"/>
      <c r="L10" s="18">
        <f>SUM($M$1:M9)</f>
        <v>9</v>
      </c>
      <c r="M10" s="9"/>
      <c r="N10" s="9"/>
      <c r="O10" s="9"/>
      <c r="P10" s="9"/>
      <c r="Q10" s="11"/>
      <c r="R10" s="12"/>
      <c r="S10" s="36"/>
      <c r="T10" s="35"/>
      <c r="W10" s="18"/>
      <c r="Z10" s="18"/>
      <c r="AA10" s="18"/>
      <c r="AB10" s="18"/>
      <c r="AC10" s="18"/>
      <c r="AD10" s="18"/>
    </row>
    <row r="11" spans="1:103" s="5" customFormat="1" ht="12.75" x14ac:dyDescent="0.2">
      <c r="A11" s="26"/>
      <c r="B11" s="26"/>
      <c r="C11" s="26"/>
      <c r="D11" s="26"/>
      <c r="E11" s="7" t="s">
        <v>29</v>
      </c>
      <c r="F11" s="15" t="str">
        <f>$C$5</f>
        <v>STANDARD SPREADSHEET METHOD</v>
      </c>
      <c r="I11" s="19"/>
      <c r="J11" s="8"/>
      <c r="M11" s="9"/>
      <c r="N11" s="9"/>
      <c r="O11" s="9"/>
      <c r="P11" s="9"/>
      <c r="Q11" s="9"/>
      <c r="R11" s="9"/>
      <c r="S11" s="34"/>
      <c r="T11" s="35"/>
      <c r="W11" s="179" t="s">
        <v>160</v>
      </c>
      <c r="Z11" s="7">
        <f>D48/30</f>
        <v>0.13333333333333333</v>
      </c>
      <c r="AA11" s="47" t="s">
        <v>136</v>
      </c>
      <c r="AB11" s="18" t="s">
        <v>151</v>
      </c>
      <c r="AC11" s="18">
        <f>(G43-A43)/D48</f>
        <v>0.29165000000000002</v>
      </c>
      <c r="AD11" s="18">
        <f>(F37-A38)/D48</f>
        <v>3.7500000000000006E-2</v>
      </c>
      <c r="AE11" s="5">
        <f>(H48-A48)/D48</f>
        <v>0.875</v>
      </c>
      <c r="CL11" s="5" t="s">
        <v>172</v>
      </c>
      <c r="CO11" s="28" t="s">
        <v>167</v>
      </c>
      <c r="CP11" s="28"/>
      <c r="CQ11" s="28"/>
      <c r="CV11" s="5" t="s">
        <v>173</v>
      </c>
    </row>
    <row r="12" spans="1:103" s="28" customFormat="1" x14ac:dyDescent="0.25">
      <c r="A12" s="70"/>
      <c r="B12" s="21" t="str">
        <f>$G$4</f>
        <v>SIMPLIFIED PART 23 AIRCRAFT LOADS</v>
      </c>
      <c r="C12" s="71"/>
      <c r="D12" s="71"/>
      <c r="E12" s="72"/>
      <c r="F12" s="71"/>
      <c r="G12" s="71"/>
      <c r="H12" s="71"/>
      <c r="I12" s="71"/>
      <c r="J12" s="71"/>
      <c r="K12" s="71"/>
      <c r="L12" s="30"/>
      <c r="M12" s="37"/>
      <c r="N12" s="38"/>
      <c r="O12" s="38"/>
      <c r="P12" s="38"/>
      <c r="Q12" s="38"/>
      <c r="R12" s="37"/>
      <c r="S12" s="37"/>
      <c r="T12" s="39"/>
      <c r="W12" s="59"/>
      <c r="Z12" s="135">
        <f>Z11*12</f>
        <v>1.6</v>
      </c>
      <c r="AA12" s="187" t="s">
        <v>139</v>
      </c>
      <c r="AB12" s="59" t="s">
        <v>152</v>
      </c>
      <c r="AC12" s="177">
        <f>A43</f>
        <v>0.5</v>
      </c>
      <c r="AD12" s="177">
        <f>A38</f>
        <v>0.3</v>
      </c>
      <c r="AE12" s="176">
        <f>A48</f>
        <v>1.5</v>
      </c>
      <c r="CO12" s="28" t="s">
        <v>171</v>
      </c>
      <c r="CP12" s="185">
        <f>D54/CN51</f>
        <v>1.4857025303435507</v>
      </c>
      <c r="CV12" s="176">
        <f>C32</f>
        <v>56.119526497905667</v>
      </c>
    </row>
    <row r="13" spans="1:103" s="26" customFormat="1" ht="12.75" x14ac:dyDescent="0.2">
      <c r="A13" s="73"/>
      <c r="B13" s="73" t="s">
        <v>47</v>
      </c>
      <c r="C13" s="73"/>
      <c r="D13" s="73"/>
      <c r="E13" s="73"/>
      <c r="F13" s="73"/>
      <c r="G13" s="73"/>
      <c r="H13" s="73"/>
      <c r="I13" s="73"/>
      <c r="J13" s="73"/>
      <c r="K13" s="73"/>
      <c r="L13" s="29"/>
      <c r="M13" s="27"/>
      <c r="N13" s="27"/>
      <c r="O13" s="27"/>
      <c r="P13" s="27"/>
      <c r="Q13" s="27"/>
      <c r="R13" s="27"/>
      <c r="S13" s="27"/>
      <c r="T13" s="27"/>
      <c r="W13" s="29"/>
      <c r="Z13" s="29"/>
      <c r="AA13" s="29"/>
      <c r="AB13" s="29"/>
      <c r="AC13" s="29"/>
      <c r="AD13" s="29"/>
    </row>
    <row r="14" spans="1:103" s="75" customFormat="1" ht="12.75" x14ac:dyDescent="0.2">
      <c r="A14" s="73"/>
      <c r="B14" s="114" t="s">
        <v>189</v>
      </c>
      <c r="C14" s="73"/>
      <c r="D14" s="76"/>
      <c r="E14" s="73"/>
      <c r="F14" s="73"/>
      <c r="G14" s="77"/>
      <c r="H14" s="73"/>
      <c r="I14" s="73"/>
      <c r="J14" s="73"/>
      <c r="K14" s="73"/>
      <c r="M14" s="156"/>
      <c r="N14" s="156"/>
      <c r="O14" s="156"/>
      <c r="P14" s="156"/>
      <c r="Q14" s="156"/>
      <c r="R14" s="156"/>
      <c r="S14" s="156"/>
      <c r="T14" s="156"/>
      <c r="W14" s="159"/>
      <c r="Z14" s="159"/>
      <c r="AA14" s="159"/>
      <c r="AB14" s="159"/>
      <c r="AC14" s="159"/>
      <c r="AD14" s="159"/>
      <c r="CJ14" s="159"/>
      <c r="CK14" s="159"/>
    </row>
    <row r="15" spans="1:103" s="75" customFormat="1" ht="12.75" x14ac:dyDescent="0.2">
      <c r="A15" s="73"/>
      <c r="C15" s="73"/>
      <c r="D15" s="76"/>
      <c r="E15" s="73"/>
      <c r="F15" s="73"/>
      <c r="G15" s="73"/>
      <c r="H15" s="73"/>
      <c r="I15" s="73"/>
      <c r="J15" s="73"/>
      <c r="K15" s="73"/>
      <c r="M15" s="156"/>
      <c r="N15" s="156"/>
      <c r="O15" s="156"/>
      <c r="P15" s="156"/>
      <c r="Q15" s="156"/>
      <c r="R15" s="156"/>
      <c r="S15" s="156"/>
      <c r="T15" s="156"/>
      <c r="V15" s="88"/>
      <c r="AA15" s="159"/>
      <c r="AB15" s="83"/>
      <c r="AC15" s="83" t="s">
        <v>145</v>
      </c>
      <c r="AD15" s="83" t="s">
        <v>153</v>
      </c>
      <c r="AE15" s="159" t="s">
        <v>198</v>
      </c>
      <c r="AQ15" s="190">
        <v>0.1</v>
      </c>
      <c r="AR15" s="159"/>
      <c r="CJ15" s="83" t="s">
        <v>157</v>
      </c>
      <c r="CK15" s="83" t="s">
        <v>157</v>
      </c>
      <c r="CL15" s="159" t="s">
        <v>165</v>
      </c>
      <c r="CM15" s="159" t="s">
        <v>165</v>
      </c>
      <c r="CN15" s="83" t="s">
        <v>169</v>
      </c>
      <c r="CO15" s="159" t="s">
        <v>165</v>
      </c>
      <c r="CP15" s="159" t="s">
        <v>165</v>
      </c>
      <c r="CQ15" s="83" t="s">
        <v>169</v>
      </c>
      <c r="CR15" s="159" t="s">
        <v>168</v>
      </c>
      <c r="CS15" s="159" t="s">
        <v>168</v>
      </c>
      <c r="CT15" s="83" t="s">
        <v>169</v>
      </c>
      <c r="CU15" s="159" t="s">
        <v>170</v>
      </c>
      <c r="CV15" s="83" t="s">
        <v>169</v>
      </c>
      <c r="CW15" s="83" t="s">
        <v>169</v>
      </c>
      <c r="CX15" s="83" t="s">
        <v>169</v>
      </c>
      <c r="CY15" s="83" t="s">
        <v>169</v>
      </c>
    </row>
    <row r="16" spans="1:103" s="77" customFormat="1" ht="13.5" customHeight="1" x14ac:dyDescent="0.2">
      <c r="B16" s="75" t="s">
        <v>187</v>
      </c>
      <c r="L16" s="157"/>
      <c r="M16" s="156"/>
      <c r="N16" s="156"/>
      <c r="O16" s="156"/>
      <c r="P16" s="156"/>
      <c r="Q16" s="156"/>
      <c r="R16" s="156"/>
      <c r="S16" s="156"/>
      <c r="T16" s="156"/>
      <c r="U16" s="157"/>
      <c r="V16" s="88"/>
      <c r="W16" s="18"/>
      <c r="AA16" s="18"/>
      <c r="AB16" s="83" t="s">
        <v>148</v>
      </c>
      <c r="AC16" s="83" t="s">
        <v>150</v>
      </c>
      <c r="AD16" s="83" t="s">
        <v>155</v>
      </c>
      <c r="AE16" s="171" t="s">
        <v>133</v>
      </c>
      <c r="AF16" s="77" t="s">
        <v>201</v>
      </c>
      <c r="AQ16" s="171" t="s">
        <v>202</v>
      </c>
      <c r="AR16" s="171"/>
      <c r="BD16" s="77" t="s">
        <v>204</v>
      </c>
      <c r="CJ16" s="83" t="s">
        <v>158</v>
      </c>
      <c r="CK16" s="83" t="s">
        <v>161</v>
      </c>
      <c r="CL16" s="83" t="s">
        <v>158</v>
      </c>
      <c r="CM16" s="83" t="s">
        <v>161</v>
      </c>
      <c r="CN16" s="159" t="s">
        <v>165</v>
      </c>
      <c r="CO16" s="83" t="s">
        <v>158</v>
      </c>
      <c r="CP16" s="83" t="s">
        <v>161</v>
      </c>
      <c r="CQ16" s="159" t="s">
        <v>165</v>
      </c>
      <c r="CR16" s="83" t="s">
        <v>158</v>
      </c>
      <c r="CS16" s="83" t="s">
        <v>161</v>
      </c>
      <c r="CT16" s="83" t="s">
        <v>168</v>
      </c>
      <c r="CU16" s="171" t="s">
        <v>168</v>
      </c>
      <c r="CV16" s="159" t="s">
        <v>165</v>
      </c>
      <c r="CW16" s="83" t="s">
        <v>168</v>
      </c>
      <c r="CX16" s="159" t="s">
        <v>165</v>
      </c>
      <c r="CY16" s="83" t="s">
        <v>168</v>
      </c>
    </row>
    <row r="17" spans="1:103" s="77" customFormat="1" ht="14.25" x14ac:dyDescent="0.25">
      <c r="B17" s="80" t="s">
        <v>123</v>
      </c>
      <c r="C17" s="96">
        <f>Analysis!C44</f>
        <v>104.16455158597188</v>
      </c>
      <c r="D17" s="110" t="s">
        <v>72</v>
      </c>
      <c r="E17" s="96"/>
      <c r="F17" s="111" t="s">
        <v>125</v>
      </c>
      <c r="G17" s="96">
        <f>Analysis!C47</f>
        <v>118.05315846410147</v>
      </c>
      <c r="H17" s="110" t="s">
        <v>72</v>
      </c>
      <c r="L17" s="157"/>
      <c r="M17" s="156"/>
      <c r="N17" s="156"/>
      <c r="O17" s="156"/>
      <c r="P17" s="156"/>
      <c r="Q17" s="156"/>
      <c r="R17" s="156"/>
      <c r="S17" s="156"/>
      <c r="T17" s="156"/>
      <c r="U17" s="157"/>
      <c r="V17" s="88"/>
      <c r="W17" s="59"/>
      <c r="Z17" s="59" t="s">
        <v>145</v>
      </c>
      <c r="AA17" s="59" t="s">
        <v>145</v>
      </c>
      <c r="AB17" s="83" t="s">
        <v>145</v>
      </c>
      <c r="AC17" s="171" t="s">
        <v>154</v>
      </c>
      <c r="AD17" s="171" t="s">
        <v>154</v>
      </c>
      <c r="AE17" s="171"/>
      <c r="AF17" s="189" t="s">
        <v>200</v>
      </c>
      <c r="AQ17" s="171" t="s">
        <v>133</v>
      </c>
      <c r="AR17" s="171"/>
      <c r="CJ17" s="171" t="s">
        <v>153</v>
      </c>
      <c r="CK17" s="171" t="s">
        <v>153</v>
      </c>
      <c r="CL17" s="83" t="s">
        <v>153</v>
      </c>
      <c r="CM17" s="83" t="s">
        <v>153</v>
      </c>
      <c r="CN17" s="171"/>
      <c r="CO17" s="83" t="s">
        <v>153</v>
      </c>
      <c r="CP17" s="83" t="s">
        <v>153</v>
      </c>
      <c r="CQ17" s="171"/>
      <c r="CR17" s="83" t="s">
        <v>153</v>
      </c>
      <c r="CS17" s="83" t="s">
        <v>153</v>
      </c>
      <c r="CT17" s="83"/>
      <c r="CU17" s="171"/>
      <c r="CX17" s="171" t="s">
        <v>174</v>
      </c>
      <c r="CY17" s="171" t="s">
        <v>174</v>
      </c>
    </row>
    <row r="18" spans="1:103" s="77" customFormat="1" ht="14.25" x14ac:dyDescent="0.25">
      <c r="B18" s="80" t="s">
        <v>124</v>
      </c>
      <c r="C18" s="192">
        <f>Analysis!F43</f>
        <v>120</v>
      </c>
      <c r="D18" s="110" t="s">
        <v>72</v>
      </c>
      <c r="E18" s="96"/>
      <c r="F18" s="111" t="s">
        <v>126</v>
      </c>
      <c r="G18" s="192">
        <f>Analysis!F46</f>
        <v>160</v>
      </c>
      <c r="H18" s="110" t="s">
        <v>72</v>
      </c>
      <c r="L18" s="157"/>
      <c r="M18" s="156"/>
      <c r="N18" s="156"/>
      <c r="O18" s="156"/>
      <c r="P18" s="156"/>
      <c r="Q18" s="156"/>
      <c r="R18" s="156"/>
      <c r="S18" s="156"/>
      <c r="T18" s="156"/>
      <c r="U18" s="157"/>
      <c r="V18" s="88"/>
      <c r="W18" s="29" t="s">
        <v>145</v>
      </c>
      <c r="Z18" s="29" t="s">
        <v>146</v>
      </c>
      <c r="AA18" s="29" t="s">
        <v>147</v>
      </c>
      <c r="AB18" s="83" t="s">
        <v>149</v>
      </c>
      <c r="AC18" s="159" t="s">
        <v>149</v>
      </c>
      <c r="AD18" s="159" t="s">
        <v>149</v>
      </c>
      <c r="AE18" s="171"/>
      <c r="AF18" s="171">
        <v>0.95</v>
      </c>
      <c r="AG18" s="171">
        <f>AF18-0.1</f>
        <v>0.85</v>
      </c>
      <c r="AH18" s="171">
        <f t="shared" ref="AH18:AO18" si="0">AG18-0.1</f>
        <v>0.75</v>
      </c>
      <c r="AI18" s="171">
        <f t="shared" si="0"/>
        <v>0.65</v>
      </c>
      <c r="AJ18" s="171">
        <f t="shared" si="0"/>
        <v>0.55000000000000004</v>
      </c>
      <c r="AK18" s="171">
        <f t="shared" si="0"/>
        <v>0.45000000000000007</v>
      </c>
      <c r="AL18" s="171">
        <f t="shared" si="0"/>
        <v>0.35000000000000009</v>
      </c>
      <c r="AM18" s="171">
        <f t="shared" si="0"/>
        <v>0.25000000000000011</v>
      </c>
      <c r="AN18" s="171">
        <f t="shared" si="0"/>
        <v>0.15000000000000011</v>
      </c>
      <c r="AO18" s="171">
        <f t="shared" si="0"/>
        <v>5.00000000000001E-2</v>
      </c>
      <c r="AP18" s="171">
        <v>0</v>
      </c>
      <c r="AQ18" s="171" t="s">
        <v>203</v>
      </c>
      <c r="AR18" s="171"/>
      <c r="AS18" s="171">
        <v>0.95</v>
      </c>
      <c r="AT18" s="171">
        <f>AS18-0.1</f>
        <v>0.85</v>
      </c>
      <c r="AU18" s="171">
        <f t="shared" ref="AU18:BB18" si="1">AT18-0.1</f>
        <v>0.75</v>
      </c>
      <c r="AV18" s="171">
        <f t="shared" si="1"/>
        <v>0.65</v>
      </c>
      <c r="AW18" s="171">
        <f t="shared" si="1"/>
        <v>0.55000000000000004</v>
      </c>
      <c r="AX18" s="171">
        <f t="shared" si="1"/>
        <v>0.45000000000000007</v>
      </c>
      <c r="AY18" s="171">
        <f t="shared" si="1"/>
        <v>0.35000000000000009</v>
      </c>
      <c r="AZ18" s="171">
        <f t="shared" si="1"/>
        <v>0.25000000000000011</v>
      </c>
      <c r="BA18" s="171">
        <f t="shared" si="1"/>
        <v>0.15000000000000011</v>
      </c>
      <c r="BB18" s="171">
        <f t="shared" si="1"/>
        <v>5.00000000000001E-2</v>
      </c>
      <c r="BC18" s="171">
        <v>0</v>
      </c>
      <c r="BD18" s="171">
        <v>0.95</v>
      </c>
      <c r="BE18" s="171">
        <f>BD18-0.1</f>
        <v>0.85</v>
      </c>
      <c r="BF18" s="171">
        <f t="shared" ref="BF18:BM18" si="2">BE18-0.1</f>
        <v>0.75</v>
      </c>
      <c r="BG18" s="171">
        <f t="shared" si="2"/>
        <v>0.65</v>
      </c>
      <c r="BH18" s="171">
        <f t="shared" si="2"/>
        <v>0.55000000000000004</v>
      </c>
      <c r="BI18" s="171">
        <f t="shared" si="2"/>
        <v>0.45000000000000007</v>
      </c>
      <c r="BJ18" s="171">
        <f t="shared" si="2"/>
        <v>0.35000000000000009</v>
      </c>
      <c r="BK18" s="171">
        <f t="shared" si="2"/>
        <v>0.25000000000000011</v>
      </c>
      <c r="BL18" s="171">
        <f t="shared" si="2"/>
        <v>0.15000000000000011</v>
      </c>
      <c r="BM18" s="171">
        <f t="shared" si="2"/>
        <v>5.00000000000001E-2</v>
      </c>
      <c r="BN18" s="171">
        <v>0</v>
      </c>
      <c r="CJ18" s="83" t="s">
        <v>159</v>
      </c>
      <c r="CK18" s="83" t="s">
        <v>159</v>
      </c>
      <c r="CL18" s="83" t="s">
        <v>159</v>
      </c>
      <c r="CM18" s="83" t="s">
        <v>159</v>
      </c>
      <c r="CN18" s="171"/>
      <c r="CO18" s="83" t="s">
        <v>159</v>
      </c>
      <c r="CP18" s="83" t="s">
        <v>159</v>
      </c>
      <c r="CQ18" s="171"/>
      <c r="CR18" s="83" t="s">
        <v>159</v>
      </c>
      <c r="CS18" s="83" t="s">
        <v>159</v>
      </c>
      <c r="CT18" s="83"/>
      <c r="CU18" s="171"/>
      <c r="CX18" s="171" t="s">
        <v>175</v>
      </c>
      <c r="CY18" s="171" t="s">
        <v>175</v>
      </c>
    </row>
    <row r="19" spans="1:103" s="77" customFormat="1" ht="12.75" x14ac:dyDescent="0.2">
      <c r="A19" s="73"/>
      <c r="B19" s="73"/>
      <c r="C19" s="73"/>
      <c r="D19" s="76"/>
      <c r="E19" s="73"/>
      <c r="F19" s="73"/>
      <c r="G19" s="73"/>
      <c r="H19" s="73"/>
      <c r="I19" s="73"/>
      <c r="J19" s="73"/>
      <c r="K19" s="73"/>
      <c r="L19" s="157"/>
      <c r="M19" s="156"/>
      <c r="N19" s="156"/>
      <c r="O19" s="156"/>
      <c r="P19" s="156"/>
      <c r="Q19" s="156"/>
      <c r="R19" s="156"/>
      <c r="S19" s="156"/>
      <c r="T19" s="156"/>
      <c r="U19" s="157"/>
      <c r="V19" s="88"/>
      <c r="Z19" s="171" t="s">
        <v>156</v>
      </c>
      <c r="AA19" s="171" t="s">
        <v>156</v>
      </c>
      <c r="AB19" s="171" t="s">
        <v>156</v>
      </c>
      <c r="AC19" s="171" t="s">
        <v>156</v>
      </c>
      <c r="AD19" s="171" t="s">
        <v>156</v>
      </c>
      <c r="AE19" s="171"/>
      <c r="CJ19" s="171" t="s">
        <v>162</v>
      </c>
      <c r="CK19" s="171" t="s">
        <v>162</v>
      </c>
      <c r="CL19" s="83" t="s">
        <v>166</v>
      </c>
      <c r="CM19" s="83" t="s">
        <v>166</v>
      </c>
      <c r="CN19" s="83" t="s">
        <v>166</v>
      </c>
      <c r="CO19" s="83" t="s">
        <v>166</v>
      </c>
      <c r="CP19" s="83" t="s">
        <v>166</v>
      </c>
      <c r="CQ19" s="83" t="s">
        <v>166</v>
      </c>
      <c r="CR19" s="83" t="s">
        <v>177</v>
      </c>
      <c r="CS19" s="83" t="s">
        <v>177</v>
      </c>
      <c r="CT19" s="83" t="s">
        <v>177</v>
      </c>
      <c r="CU19" s="83" t="s">
        <v>177</v>
      </c>
      <c r="CV19" s="83" t="s">
        <v>166</v>
      </c>
      <c r="CW19" s="83" t="s">
        <v>177</v>
      </c>
      <c r="CX19" s="83" t="s">
        <v>176</v>
      </c>
      <c r="CY19" s="83" t="s">
        <v>178</v>
      </c>
    </row>
    <row r="20" spans="1:103" s="77" customFormat="1" ht="12.75" x14ac:dyDescent="0.2">
      <c r="B20" s="77" t="s">
        <v>127</v>
      </c>
      <c r="L20" s="157"/>
      <c r="M20" s="156"/>
      <c r="N20" s="156"/>
      <c r="O20" s="156"/>
      <c r="P20" s="156"/>
      <c r="Q20" s="156"/>
      <c r="R20" s="156"/>
      <c r="S20" s="156"/>
      <c r="T20" s="156"/>
      <c r="U20" s="157"/>
      <c r="V20" s="88"/>
      <c r="W20" s="159">
        <v>1</v>
      </c>
      <c r="X20" s="181">
        <f t="shared" ref="X20:X49" si="3">$D$48-AB20</f>
        <v>3.9333333333333331</v>
      </c>
      <c r="Y20" s="168">
        <f>-X20</f>
        <v>-3.9333333333333331</v>
      </c>
      <c r="Z20" s="178">
        <f>0</f>
        <v>0</v>
      </c>
      <c r="AA20" s="178">
        <f>Z11</f>
        <v>0.13333333333333333</v>
      </c>
      <c r="AB20" s="84">
        <f>(Z20+AA20)/2</f>
        <v>6.6666666666666666E-2</v>
      </c>
      <c r="AC20" s="178">
        <f t="shared" ref="AC20:AC49" si="4">$AC$11*AB20+$AC$12</f>
        <v>0.51944333333333337</v>
      </c>
      <c r="AD20" s="178">
        <f t="shared" ref="AD20:AD49" si="5">$AD$11*AB20+$AD$12</f>
        <v>0.30249999999999999</v>
      </c>
      <c r="AE20" s="181">
        <f t="shared" ref="AE20:AE49" si="6">$AE$11*AB20+$AE$12</f>
        <v>1.5583333333333333</v>
      </c>
      <c r="AF20" s="181">
        <f t="shared" ref="AF20:AP29" si="7">($AE20-($AE20-AF$18*$AC20))</f>
        <v>0.49347116666666668</v>
      </c>
      <c r="AG20" s="181">
        <f t="shared" si="7"/>
        <v>0.44152683333333331</v>
      </c>
      <c r="AH20" s="181">
        <f t="shared" si="7"/>
        <v>0.38958250000000016</v>
      </c>
      <c r="AI20" s="181">
        <f t="shared" si="7"/>
        <v>0.33763816666666657</v>
      </c>
      <c r="AJ20" s="181">
        <f t="shared" si="7"/>
        <v>0.28569383333333342</v>
      </c>
      <c r="AK20" s="181">
        <f t="shared" si="7"/>
        <v>0.23374950000000005</v>
      </c>
      <c r="AL20" s="181">
        <f t="shared" si="7"/>
        <v>0.18180516666666668</v>
      </c>
      <c r="AM20" s="181">
        <f t="shared" si="7"/>
        <v>0.12986083333333331</v>
      </c>
      <c r="AN20" s="181">
        <f t="shared" si="7"/>
        <v>7.7916499999999944E-2</v>
      </c>
      <c r="AO20" s="181">
        <f t="shared" si="7"/>
        <v>2.5972166666666796E-2</v>
      </c>
      <c r="AP20" s="181">
        <f t="shared" si="7"/>
        <v>0</v>
      </c>
      <c r="AQ20" s="168">
        <f>AC20/10</f>
        <v>5.1944333333333335E-2</v>
      </c>
      <c r="AR20" s="181">
        <f>AC20-AD20</f>
        <v>0.21694333333333338</v>
      </c>
      <c r="AS20" s="181">
        <f t="shared" ref="AS20:AS49" si="8">3*$C$32*(($AE20-($AE20-AF$18*$AC20))/$AC20)^2</f>
        <v>151.94361799307958</v>
      </c>
      <c r="AT20" s="181">
        <f t="shared" ref="AT20:AT49" si="9">3*$C$32*(($AE20-($AE20-AG$18*$AC20))/$AC20)^2</f>
        <v>121.6390736842105</v>
      </c>
      <c r="AU20" s="181">
        <f t="shared" ref="AU20:AU49" si="10">3*$C$32*(($AE20-($AE20-AH$18*$AC20))/$AC20)^2</f>
        <v>94.701700965215863</v>
      </c>
      <c r="AV20" s="181">
        <f t="shared" ref="AV20:AV49" si="11">3*$C$32*(($AE20-($AE20-AI$18*$AC20))/$AC20)^2</f>
        <v>71.131499836095401</v>
      </c>
      <c r="AW20" s="181">
        <f t="shared" ref="AW20:AW49" si="12">3*$C$32*(($AE20-($AE20-AJ$18*$AC20))/$AC20)^2</f>
        <v>50.928470296849419</v>
      </c>
      <c r="AX20" s="181">
        <f t="shared" ref="AX20:AX49" si="13">3*$C$32*(($AE20-($AE20-AK$18*$AC20))/$AC20)^2</f>
        <v>34.092612347477704</v>
      </c>
      <c r="AY20" s="181">
        <f t="shared" ref="AY20:AY49" si="14">3*$C$32*(($AE20-($AE20-AL$18*$AC20))/$AC20)^2</f>
        <v>20.623925987980336</v>
      </c>
      <c r="AZ20" s="181">
        <f t="shared" ref="AZ20:AZ49" si="15">3*$C$32*(($AE20-($AE20-AM$18*$AC20))/$AC20)^2</f>
        <v>10.522411218357307</v>
      </c>
      <c r="BA20" s="181">
        <f t="shared" ref="BA20:BA49" si="16">3*$C$32*(($AE20-($AE20-AN$18*$AC20))/$AC20)^2</f>
        <v>3.7880680386086265</v>
      </c>
      <c r="BB20" s="181">
        <f t="shared" ref="BB20:BB49" si="17">3*$C$32*(($AE20-($AE20-AO$18*$AC20))/$AC20)^2</f>
        <v>0.42089644873429666</v>
      </c>
      <c r="BC20" s="181">
        <f t="shared" ref="BC20:BC49" si="18">3*$C$32*(($AE20-($AE20-AP$18*$AC20))/$AC20)^2</f>
        <v>0</v>
      </c>
      <c r="BD20" s="181">
        <f t="shared" ref="BD20:BD49" si="19">AS20*($AQ20*$Z$11)</f>
        <v>1.0523479921206922</v>
      </c>
      <c r="BE20" s="181">
        <f t="shared" ref="BE20:BE49" si="20">AT20*($AQ20*$Z$11)</f>
        <v>0.84246141197473667</v>
      </c>
      <c r="BF20" s="181">
        <f t="shared" ref="BF20:BF49" si="21">AU20*($AQ20*$Z$11)</f>
        <v>0.6558955629561104</v>
      </c>
      <c r="BG20" s="181">
        <f t="shared" ref="BG20:BG49" si="22">AV20*($AQ20*$Z$11)</f>
        <v>0.49265044506481132</v>
      </c>
      <c r="BH20" s="181">
        <f t="shared" ref="BH20:BH49" si="23">AW20*($AQ20*$Z$11)</f>
        <v>0.35272605830084158</v>
      </c>
      <c r="BI20" s="181">
        <f t="shared" ref="BI20:BI49" si="24">AX20*($AQ20*$Z$11)</f>
        <v>0.2361224026641997</v>
      </c>
      <c r="BJ20" s="181">
        <f t="shared" ref="BJ20:BJ49" si="25">AY20*($AQ20*$Z$11)</f>
        <v>0.14283947815488621</v>
      </c>
      <c r="BK20" s="181">
        <f t="shared" ref="BK20:BK49" si="26">AZ20*($AQ20*$Z$11)</f>
        <v>7.2877284772901077E-2</v>
      </c>
      <c r="BL20" s="181">
        <f t="shared" ref="BL20:BL49" si="27">BA20*($AQ20*$Z$11)</f>
        <v>2.623582251824436E-2</v>
      </c>
      <c r="BM20" s="181">
        <f t="shared" ref="BM20:BM49" si="28">BB20*($AQ20*$Z$11)</f>
        <v>2.9150913909160737E-3</v>
      </c>
      <c r="BN20" s="181">
        <f t="shared" ref="BN20:BN49" si="29">BC20*($AQ20*$Z$11)</f>
        <v>0</v>
      </c>
      <c r="BO20" s="191">
        <f>SUM(BD20:BN20)</f>
        <v>3.8770715499183397</v>
      </c>
      <c r="BP20" s="191">
        <f t="shared" ref="BP20:BP49" si="30">BD20*(AF20-$AR20)</f>
        <v>0.2910035101738187</v>
      </c>
      <c r="BQ20" s="191">
        <f t="shared" ref="BQ20:BQ49" si="31">BE20*(AG20-$AR20)</f>
        <v>0.18920293251622822</v>
      </c>
      <c r="BR20" s="191">
        <f t="shared" ref="BR20:BR49" si="32">BF20*(AH20-$AR20)</f>
        <v>0.11323326340910718</v>
      </c>
      <c r="BS20" s="191">
        <f t="shared" ref="BS20:BS49" si="33">BG20*(AI20-$AR20)</f>
        <v>5.9460363358689823E-2</v>
      </c>
      <c r="BT20" s="191">
        <f t="shared" ref="BT20:BT49" si="34">BH20*(AJ20-$AR20)</f>
        <v>2.4250092871212027E-2</v>
      </c>
      <c r="BU20" s="191">
        <f t="shared" ref="BU20:BU49" si="35">BI20*(AK20-$AR20)</f>
        <v>3.9683124529083201E-3</v>
      </c>
      <c r="BV20" s="191">
        <f t="shared" ref="BV20:BV49" si="36">BJ20*(AL20-$AR20)</f>
        <v>-5.0191173899860877E-3</v>
      </c>
      <c r="BW20" s="191">
        <f t="shared" ref="BW20:BW49" si="37">BK20*(AM20-$AR20)</f>
        <v>-6.3463361512361626E-3</v>
      </c>
      <c r="BX20" s="191">
        <f t="shared" ref="BX20:BX49" si="38">BL20*(AN20-$AR20)</f>
        <v>-3.6474833246068748E-3</v>
      </c>
      <c r="BY20" s="191">
        <f t="shared" ref="BY20:BY49" si="39">BM20*(AO20-$AR20)</f>
        <v>-5.5669840386319842E-4</v>
      </c>
      <c r="BZ20" s="191">
        <f t="shared" ref="BZ20:BZ49" si="40">BN20*(AP20-$AR20)</f>
        <v>0</v>
      </c>
      <c r="CA20" s="191">
        <f>SUM(BP20:BZ20)</f>
        <v>0.66554883951227206</v>
      </c>
      <c r="CJ20" s="178">
        <f t="shared" ref="CJ20:CJ49" si="41">AD20*$Z$11</f>
        <v>4.0333333333333332E-2</v>
      </c>
      <c r="CK20" s="181">
        <f t="shared" ref="CK20:CK49" si="42">(AC20-AD20)*$Z$11</f>
        <v>2.8925777777777783E-2</v>
      </c>
      <c r="CL20" s="182">
        <f>CJ20</f>
        <v>4.0333333333333332E-2</v>
      </c>
      <c r="CM20" s="162">
        <f>CK20/2</f>
        <v>1.4462888888888891E-2</v>
      </c>
      <c r="CN20" s="181">
        <f>CL20+CM20</f>
        <v>5.4796222222222225E-2</v>
      </c>
      <c r="CO20" s="180">
        <f t="shared" ref="CO20:CO49" si="43">CL20*$CP$12</f>
        <v>5.9923335390523212E-2</v>
      </c>
      <c r="CP20" s="180">
        <f t="shared" ref="CP20:CP49" si="44">CM20*$CP$12</f>
        <v>2.148755061829985E-2</v>
      </c>
      <c r="CQ20" s="180">
        <f t="shared" ref="CQ20:CQ49" si="45">CN20*$CP$12</f>
        <v>8.1410886008823069E-2</v>
      </c>
      <c r="CR20" s="183">
        <f t="shared" ref="CR20:CR49" si="46">CO20*AD20/2</f>
        <v>9.0634044778166358E-3</v>
      </c>
      <c r="CS20" s="183">
        <f t="shared" ref="CS20:CS49" si="47">-(AC20-AD20)/3*CP20</f>
        <v>-1.5538602854342327E-3</v>
      </c>
      <c r="CT20" s="186">
        <f>CR20+CS20</f>
        <v>7.5095441923824034E-3</v>
      </c>
      <c r="CU20" s="180">
        <f>SUM($CT$19:CT20)</f>
        <v>7.5095441923824034E-3</v>
      </c>
      <c r="CV20" s="181">
        <f t="shared" ref="CV20:CV49" si="48">CQ20*$CV$12</f>
        <v>4.5687403745901243</v>
      </c>
      <c r="CW20" s="181">
        <f t="shared" ref="CW20:CW49" si="49">CT20*$CV$12</f>
        <v>0.42143206429159791</v>
      </c>
      <c r="CX20" s="188">
        <f t="shared" ref="CX20:CX49" si="50">BO20/$Z$11</f>
        <v>29.078036624387547</v>
      </c>
      <c r="CY20" s="188">
        <f>CA20</f>
        <v>0.66554883951227206</v>
      </c>
    </row>
    <row r="21" spans="1:103" s="77" customFormat="1" ht="12.75" x14ac:dyDescent="0.2">
      <c r="B21" s="80" t="s">
        <v>82</v>
      </c>
      <c r="C21" s="77" t="str">
        <f>[1]!xln(C22)</f>
        <v>(120 / 104)²</v>
      </c>
      <c r="F21" s="80" t="s">
        <v>82</v>
      </c>
      <c r="G21" s="77" t="str">
        <f>[1]!xln(G22)</f>
        <v>(160 / 118)²</v>
      </c>
      <c r="L21" s="157"/>
      <c r="M21" s="156"/>
      <c r="N21" s="156"/>
      <c r="O21" s="156"/>
      <c r="P21" s="156"/>
      <c r="Q21" s="156"/>
      <c r="R21" s="156"/>
      <c r="S21" s="156"/>
      <c r="T21" s="156"/>
      <c r="U21" s="157"/>
      <c r="V21" s="88"/>
      <c r="W21" s="88">
        <v>2</v>
      </c>
      <c r="X21" s="181">
        <f t="shared" si="3"/>
        <v>3.8</v>
      </c>
      <c r="Y21" s="168">
        <f t="shared" ref="Y21:Y49" si="51">-X21</f>
        <v>-3.8</v>
      </c>
      <c r="Z21" s="178">
        <f>AA20</f>
        <v>0.13333333333333333</v>
      </c>
      <c r="AA21" s="84">
        <f t="shared" ref="AA21:AA49" si="52">Z21+$Z$11</f>
        <v>0.26666666666666666</v>
      </c>
      <c r="AB21" s="84">
        <f t="shared" ref="AB21:AB49" si="53">(Z21+AA21)/2</f>
        <v>0.2</v>
      </c>
      <c r="AC21" s="178">
        <f t="shared" si="4"/>
        <v>0.55832999999999999</v>
      </c>
      <c r="AD21" s="178">
        <f t="shared" si="5"/>
        <v>0.3075</v>
      </c>
      <c r="AE21" s="181">
        <f t="shared" si="6"/>
        <v>1.675</v>
      </c>
      <c r="AF21" s="181">
        <f t="shared" si="7"/>
        <v>0.53041350000000009</v>
      </c>
      <c r="AG21" s="181">
        <f t="shared" si="7"/>
        <v>0.47458049999999985</v>
      </c>
      <c r="AH21" s="181">
        <f t="shared" si="7"/>
        <v>0.41874750000000005</v>
      </c>
      <c r="AI21" s="181">
        <f t="shared" si="7"/>
        <v>0.36291450000000003</v>
      </c>
      <c r="AJ21" s="181">
        <f t="shared" si="7"/>
        <v>0.30708150000000001</v>
      </c>
      <c r="AK21" s="181">
        <f t="shared" si="7"/>
        <v>0.25124849999999999</v>
      </c>
      <c r="AL21" s="181">
        <f t="shared" si="7"/>
        <v>0.19541549999999996</v>
      </c>
      <c r="AM21" s="181">
        <f t="shared" si="7"/>
        <v>0.13958250000000016</v>
      </c>
      <c r="AN21" s="181">
        <f t="shared" si="7"/>
        <v>8.3749500000000143E-2</v>
      </c>
      <c r="AO21" s="181">
        <f t="shared" si="7"/>
        <v>2.7916500000000122E-2</v>
      </c>
      <c r="AP21" s="181">
        <f t="shared" si="7"/>
        <v>0</v>
      </c>
      <c r="AQ21" s="168">
        <f t="shared" ref="AQ21:AQ49" si="54">AC21/10</f>
        <v>5.5833000000000001E-2</v>
      </c>
      <c r="AR21" s="181">
        <f t="shared" ref="AR21:AR49" si="55">AC21-AD21</f>
        <v>0.25083</v>
      </c>
      <c r="AS21" s="181">
        <f t="shared" si="8"/>
        <v>151.94361799307964</v>
      </c>
      <c r="AT21" s="181">
        <f t="shared" si="9"/>
        <v>121.63907368421046</v>
      </c>
      <c r="AU21" s="181">
        <f t="shared" si="10"/>
        <v>94.701700965215849</v>
      </c>
      <c r="AV21" s="181">
        <f t="shared" si="11"/>
        <v>71.131499836095443</v>
      </c>
      <c r="AW21" s="181">
        <f t="shared" si="12"/>
        <v>50.928470296849405</v>
      </c>
      <c r="AX21" s="181">
        <f t="shared" si="13"/>
        <v>34.092612347477683</v>
      </c>
      <c r="AY21" s="181">
        <f t="shared" si="14"/>
        <v>20.623925987980321</v>
      </c>
      <c r="AZ21" s="181">
        <f t="shared" si="15"/>
        <v>10.522411218357336</v>
      </c>
      <c r="BA21" s="181">
        <f t="shared" si="16"/>
        <v>3.7880680386086465</v>
      </c>
      <c r="BB21" s="181">
        <f t="shared" si="17"/>
        <v>0.42089644873429616</v>
      </c>
      <c r="BC21" s="181">
        <f t="shared" si="18"/>
        <v>0</v>
      </c>
      <c r="BD21" s="181">
        <f t="shared" si="19"/>
        <v>1.1311290697876821</v>
      </c>
      <c r="BE21" s="181">
        <f t="shared" si="20"/>
        <v>0.90552992013473643</v>
      </c>
      <c r="BF21" s="181">
        <f t="shared" si="21"/>
        <v>0.70499734266545289</v>
      </c>
      <c r="BG21" s="181">
        <f t="shared" si="22"/>
        <v>0.52953133737982894</v>
      </c>
      <c r="BH21" s="181">
        <f t="shared" si="23"/>
        <v>0.37913190427786575</v>
      </c>
      <c r="BI21" s="181">
        <f t="shared" si="24"/>
        <v>0.25379904335956288</v>
      </c>
      <c r="BJ21" s="181">
        <f t="shared" si="25"/>
        <v>0.15353275462492072</v>
      </c>
      <c r="BK21" s="181">
        <f t="shared" si="26"/>
        <v>7.8333038073939348E-2</v>
      </c>
      <c r="BL21" s="181">
        <f t="shared" si="27"/>
        <v>2.8199893706618209E-2</v>
      </c>
      <c r="BM21" s="181">
        <f t="shared" si="28"/>
        <v>3.1333215229575944E-3</v>
      </c>
      <c r="BN21" s="181">
        <f t="shared" si="29"/>
        <v>0</v>
      </c>
      <c r="BO21" s="191">
        <f t="shared" ref="BO21:BO49" si="56">SUM(BD21:BN21)</f>
        <v>4.1673176255335651</v>
      </c>
      <c r="BP21" s="191">
        <f t="shared" si="30"/>
        <v>0.31624502428298451</v>
      </c>
      <c r="BQ21" s="191">
        <f t="shared" si="31"/>
        <v>0.20261277239510722</v>
      </c>
      <c r="BR21" s="191">
        <f t="shared" si="32"/>
        <v>0.11838139128702622</v>
      </c>
      <c r="BS21" s="191">
        <f t="shared" si="33"/>
        <v>5.9352255184549452E-2</v>
      </c>
      <c r="BT21" s="191">
        <f t="shared" si="34"/>
        <v>2.132673831348637E-2</v>
      </c>
      <c r="BU21" s="191">
        <f t="shared" si="35"/>
        <v>1.062148996459741E-4</v>
      </c>
      <c r="BV21" s="191">
        <f t="shared" si="36"/>
        <v>-8.5079408311626737E-3</v>
      </c>
      <c r="BW21" s="191">
        <f t="shared" si="37"/>
        <v>-8.7143546531305554E-3</v>
      </c>
      <c r="BX21" s="191">
        <f t="shared" si="38"/>
        <v>-4.7116523404486192E-3</v>
      </c>
      <c r="BY21" s="191">
        <f t="shared" si="39"/>
        <v>-6.9845966730780733E-4</v>
      </c>
      <c r="BZ21" s="191">
        <f t="shared" si="40"/>
        <v>0</v>
      </c>
      <c r="CA21" s="191">
        <f t="shared" ref="CA21:CA49" si="57">SUM(BP21:BZ21)</f>
        <v>0.69539198887075016</v>
      </c>
      <c r="CJ21" s="178">
        <f t="shared" si="41"/>
        <v>4.1000000000000002E-2</v>
      </c>
      <c r="CK21" s="181">
        <f t="shared" si="42"/>
        <v>3.3444000000000002E-2</v>
      </c>
      <c r="CL21" s="182">
        <f t="shared" ref="CL21:CL49" si="58">CJ21</f>
        <v>4.1000000000000002E-2</v>
      </c>
      <c r="CM21" s="162">
        <f t="shared" ref="CM21:CM49" si="59">CK21/2</f>
        <v>1.6722000000000001E-2</v>
      </c>
      <c r="CN21" s="181">
        <f t="shared" ref="CN21:CN49" si="60">CL21+CM21</f>
        <v>5.7722000000000002E-2</v>
      </c>
      <c r="CO21" s="180">
        <f t="shared" si="43"/>
        <v>6.091380374408558E-2</v>
      </c>
      <c r="CP21" s="180">
        <f t="shared" si="44"/>
        <v>2.4843917712404857E-2</v>
      </c>
      <c r="CQ21" s="180">
        <f t="shared" si="45"/>
        <v>8.5757721456490438E-2</v>
      </c>
      <c r="CR21" s="183">
        <f t="shared" si="46"/>
        <v>9.3654973256531576E-3</v>
      </c>
      <c r="CS21" s="183">
        <f t="shared" si="47"/>
        <v>-2.0771999599341704E-3</v>
      </c>
      <c r="CT21" s="186">
        <f t="shared" ref="CT21:CT49" si="61">CR21+CS21</f>
        <v>7.2882973657189872E-3</v>
      </c>
      <c r="CU21" s="180">
        <f>SUM($CT$19:CT21)</f>
        <v>1.4797841558101391E-2</v>
      </c>
      <c r="CV21" s="181">
        <f t="shared" si="48"/>
        <v>4.8126827216775281</v>
      </c>
      <c r="CW21" s="181">
        <f t="shared" si="49"/>
        <v>0.40901579714008279</v>
      </c>
      <c r="CX21" s="188">
        <f t="shared" si="50"/>
        <v>31.254882191501739</v>
      </c>
      <c r="CY21" s="188">
        <f t="shared" ref="CY21:CY49" si="62">CA21</f>
        <v>0.69539198887075016</v>
      </c>
    </row>
    <row r="22" spans="1:103" s="77" customFormat="1" ht="12.75" x14ac:dyDescent="0.2">
      <c r="B22" s="80" t="s">
        <v>82</v>
      </c>
      <c r="C22" s="115">
        <f>(C18/C17)^2</f>
        <v>1.3271578947368421</v>
      </c>
      <c r="D22" s="170"/>
      <c r="E22" s="170"/>
      <c r="F22" s="136" t="s">
        <v>82</v>
      </c>
      <c r="G22" s="115">
        <f>(G18/G17)^2</f>
        <v>1.8368967401201968</v>
      </c>
      <c r="L22" s="157"/>
      <c r="M22" s="156"/>
      <c r="N22" s="156"/>
      <c r="O22" s="156"/>
      <c r="P22" s="156"/>
      <c r="Q22" s="156"/>
      <c r="R22" s="156"/>
      <c r="S22" s="156"/>
      <c r="T22" s="156"/>
      <c r="U22" s="157"/>
      <c r="V22" s="88"/>
      <c r="W22" s="88">
        <v>3</v>
      </c>
      <c r="X22" s="181">
        <f t="shared" si="3"/>
        <v>3.6666666666666665</v>
      </c>
      <c r="Y22" s="168">
        <f t="shared" si="51"/>
        <v>-3.6666666666666665</v>
      </c>
      <c r="Z22" s="178">
        <f t="shared" ref="Z22:Z49" si="63">AA21</f>
        <v>0.26666666666666666</v>
      </c>
      <c r="AA22" s="84">
        <f t="shared" si="52"/>
        <v>0.4</v>
      </c>
      <c r="AB22" s="84">
        <f t="shared" si="53"/>
        <v>0.33333333333333337</v>
      </c>
      <c r="AC22" s="178">
        <f t="shared" si="4"/>
        <v>0.59721666666666673</v>
      </c>
      <c r="AD22" s="178">
        <f t="shared" si="5"/>
        <v>0.3125</v>
      </c>
      <c r="AE22" s="181">
        <f t="shared" si="6"/>
        <v>1.7916666666666667</v>
      </c>
      <c r="AF22" s="181">
        <f t="shared" si="7"/>
        <v>0.56735583333333328</v>
      </c>
      <c r="AG22" s="181">
        <f t="shared" si="7"/>
        <v>0.50763416666666683</v>
      </c>
      <c r="AH22" s="181">
        <f t="shared" si="7"/>
        <v>0.44791249999999994</v>
      </c>
      <c r="AI22" s="181">
        <f t="shared" si="7"/>
        <v>0.38819083333333348</v>
      </c>
      <c r="AJ22" s="181">
        <f t="shared" si="7"/>
        <v>0.32846916666666659</v>
      </c>
      <c r="AK22" s="181">
        <f t="shared" si="7"/>
        <v>0.26874750000000014</v>
      </c>
      <c r="AL22" s="181">
        <f t="shared" si="7"/>
        <v>0.20902583333333347</v>
      </c>
      <c r="AM22" s="181">
        <f t="shared" si="7"/>
        <v>0.14930416666666679</v>
      </c>
      <c r="AN22" s="181">
        <f t="shared" si="7"/>
        <v>8.958250000000012E-2</v>
      </c>
      <c r="AO22" s="181">
        <f t="shared" si="7"/>
        <v>2.9860833333333447E-2</v>
      </c>
      <c r="AP22" s="181">
        <f t="shared" si="7"/>
        <v>0</v>
      </c>
      <c r="AQ22" s="168">
        <f t="shared" si="54"/>
        <v>5.9721666666666673E-2</v>
      </c>
      <c r="AR22" s="181">
        <f t="shared" si="55"/>
        <v>0.28471666666666673</v>
      </c>
      <c r="AS22" s="181">
        <f t="shared" si="8"/>
        <v>151.94361799307956</v>
      </c>
      <c r="AT22" s="181">
        <f t="shared" si="9"/>
        <v>121.6390736842106</v>
      </c>
      <c r="AU22" s="181">
        <f t="shared" si="10"/>
        <v>94.701700965215764</v>
      </c>
      <c r="AV22" s="181">
        <f t="shared" si="11"/>
        <v>71.131499836095458</v>
      </c>
      <c r="AW22" s="181">
        <f t="shared" si="12"/>
        <v>50.928470296849362</v>
      </c>
      <c r="AX22" s="181">
        <f t="shared" si="13"/>
        <v>34.092612347477719</v>
      </c>
      <c r="AY22" s="181">
        <f t="shared" si="14"/>
        <v>20.623925987980357</v>
      </c>
      <c r="AZ22" s="181">
        <f t="shared" si="15"/>
        <v>10.522411218357327</v>
      </c>
      <c r="BA22" s="181">
        <f t="shared" si="16"/>
        <v>3.7880680386086425</v>
      </c>
      <c r="BB22" s="181">
        <f t="shared" si="17"/>
        <v>0.4208964487342956</v>
      </c>
      <c r="BC22" s="181">
        <f t="shared" si="18"/>
        <v>0</v>
      </c>
      <c r="BD22" s="181">
        <f t="shared" si="19"/>
        <v>1.2099101474546712</v>
      </c>
      <c r="BE22" s="181">
        <f t="shared" si="20"/>
        <v>0.96859842829473741</v>
      </c>
      <c r="BF22" s="181">
        <f t="shared" si="21"/>
        <v>0.75409912237479482</v>
      </c>
      <c r="BG22" s="181">
        <f t="shared" si="22"/>
        <v>0.56641222969484639</v>
      </c>
      <c r="BH22" s="181">
        <f t="shared" si="23"/>
        <v>0.40553775025488958</v>
      </c>
      <c r="BI22" s="181">
        <f t="shared" si="24"/>
        <v>0.27147568405492645</v>
      </c>
      <c r="BJ22" s="181">
        <f t="shared" si="25"/>
        <v>0.16422603109495559</v>
      </c>
      <c r="BK22" s="181">
        <f t="shared" si="26"/>
        <v>8.3788791374977356E-2</v>
      </c>
      <c r="BL22" s="181">
        <f t="shared" si="27"/>
        <v>3.0163964894991888E-2</v>
      </c>
      <c r="BM22" s="181">
        <f t="shared" si="28"/>
        <v>3.3515516549991143E-3</v>
      </c>
      <c r="BN22" s="181">
        <f t="shared" si="29"/>
        <v>0</v>
      </c>
      <c r="BO22" s="191">
        <f t="shared" si="56"/>
        <v>4.4575637011487901</v>
      </c>
      <c r="BP22" s="191">
        <f t="shared" si="30"/>
        <v>0.34196799581813192</v>
      </c>
      <c r="BQ22" s="191">
        <f t="shared" si="31"/>
        <v>0.21591754013939224</v>
      </c>
      <c r="BR22" s="191">
        <f t="shared" si="32"/>
        <v>0.12306583469188986</v>
      </c>
      <c r="BS22" s="191">
        <f t="shared" si="33"/>
        <v>5.8609033457482869E-2</v>
      </c>
      <c r="BT22" s="191">
        <f t="shared" si="34"/>
        <v>1.7743290418027E-2</v>
      </c>
      <c r="BU22" s="191">
        <f t="shared" si="35"/>
        <v>-4.3352404446204418E-3</v>
      </c>
      <c r="BV22" s="191">
        <f t="shared" si="36"/>
        <v>-1.243040514860309E-2</v>
      </c>
      <c r="BW22" s="191">
        <f t="shared" si="37"/>
        <v>-1.1346049712064116E-2</v>
      </c>
      <c r="BX22" s="191">
        <f t="shared" si="38"/>
        <v>-5.8860201531468282E-3</v>
      </c>
      <c r="BY22" s="191">
        <f t="shared" si="39"/>
        <v>-8.5416248999451165E-4</v>
      </c>
      <c r="BZ22" s="191">
        <f t="shared" si="40"/>
        <v>0</v>
      </c>
      <c r="CA22" s="191">
        <f t="shared" si="57"/>
        <v>0.72245181657649493</v>
      </c>
      <c r="CJ22" s="178">
        <f t="shared" si="41"/>
        <v>4.1666666666666664E-2</v>
      </c>
      <c r="CK22" s="181">
        <f t="shared" si="42"/>
        <v>3.7962222222222231E-2</v>
      </c>
      <c r="CL22" s="182">
        <f t="shared" si="58"/>
        <v>4.1666666666666664E-2</v>
      </c>
      <c r="CM22" s="162">
        <f t="shared" si="59"/>
        <v>1.8981111111111115E-2</v>
      </c>
      <c r="CN22" s="181">
        <f t="shared" si="60"/>
        <v>6.064777777777778E-2</v>
      </c>
      <c r="CO22" s="180">
        <f t="shared" si="43"/>
        <v>6.1904272097647942E-2</v>
      </c>
      <c r="CP22" s="180">
        <f t="shared" si="44"/>
        <v>2.8200284806509868E-2</v>
      </c>
      <c r="CQ22" s="180">
        <f t="shared" si="45"/>
        <v>9.0104556904157806E-2</v>
      </c>
      <c r="CR22" s="183">
        <f t="shared" si="46"/>
        <v>9.6725425152574904E-3</v>
      </c>
      <c r="CS22" s="183">
        <f t="shared" si="47"/>
        <v>-2.6763636963867124E-3</v>
      </c>
      <c r="CT22" s="186">
        <f t="shared" si="61"/>
        <v>6.9961788188707781E-3</v>
      </c>
      <c r="CU22" s="180">
        <f>SUM($CT$19:CT22)</f>
        <v>2.179402037697217E-2</v>
      </c>
      <c r="CV22" s="181">
        <f t="shared" si="48"/>
        <v>5.0566250687649328</v>
      </c>
      <c r="CW22" s="181">
        <f t="shared" si="49"/>
        <v>0.39262224260970502</v>
      </c>
      <c r="CX22" s="188">
        <f t="shared" si="50"/>
        <v>33.431727758615928</v>
      </c>
      <c r="CY22" s="188">
        <f t="shared" si="62"/>
        <v>0.72245181657649493</v>
      </c>
    </row>
    <row r="23" spans="1:103" s="77" customFormat="1" ht="12.75" x14ac:dyDescent="0.2">
      <c r="B23" s="76"/>
      <c r="C23" s="76"/>
      <c r="D23" s="101"/>
      <c r="F23" s="80"/>
      <c r="L23" s="157"/>
      <c r="M23" s="156"/>
      <c r="N23" s="156"/>
      <c r="O23" s="156"/>
      <c r="P23" s="156"/>
      <c r="Q23" s="156"/>
      <c r="R23" s="156"/>
      <c r="S23" s="156"/>
      <c r="T23" s="156"/>
      <c r="U23" s="157"/>
      <c r="V23" s="88"/>
      <c r="W23" s="88">
        <v>4</v>
      </c>
      <c r="X23" s="181">
        <f t="shared" si="3"/>
        <v>3.5333333333333332</v>
      </c>
      <c r="Y23" s="168">
        <f t="shared" si="51"/>
        <v>-3.5333333333333332</v>
      </c>
      <c r="Z23" s="178">
        <f t="shared" si="63"/>
        <v>0.4</v>
      </c>
      <c r="AA23" s="84">
        <f t="shared" si="52"/>
        <v>0.53333333333333333</v>
      </c>
      <c r="AB23" s="84">
        <f t="shared" si="53"/>
        <v>0.46666666666666667</v>
      </c>
      <c r="AC23" s="178">
        <f t="shared" si="4"/>
        <v>0.63610333333333335</v>
      </c>
      <c r="AD23" s="178">
        <f t="shared" si="5"/>
        <v>0.3175</v>
      </c>
      <c r="AE23" s="181">
        <f t="shared" si="6"/>
        <v>1.9083333333333332</v>
      </c>
      <c r="AF23" s="181">
        <f t="shared" si="7"/>
        <v>0.60429816666666669</v>
      </c>
      <c r="AG23" s="181">
        <f t="shared" si="7"/>
        <v>0.54068783333333337</v>
      </c>
      <c r="AH23" s="181">
        <f t="shared" si="7"/>
        <v>0.47707750000000004</v>
      </c>
      <c r="AI23" s="181">
        <f t="shared" si="7"/>
        <v>0.41346716666666672</v>
      </c>
      <c r="AJ23" s="181">
        <f t="shared" si="7"/>
        <v>0.34985683333333339</v>
      </c>
      <c r="AK23" s="181">
        <f t="shared" si="7"/>
        <v>0.28624650000000007</v>
      </c>
      <c r="AL23" s="181">
        <f t="shared" si="7"/>
        <v>0.22263616666666675</v>
      </c>
      <c r="AM23" s="181">
        <f t="shared" si="7"/>
        <v>0.15902583333333342</v>
      </c>
      <c r="AN23" s="181">
        <f t="shared" si="7"/>
        <v>9.5415500000000097E-2</v>
      </c>
      <c r="AO23" s="181">
        <f t="shared" si="7"/>
        <v>3.1805166666666773E-2</v>
      </c>
      <c r="AP23" s="181">
        <f t="shared" si="7"/>
        <v>0</v>
      </c>
      <c r="AQ23" s="168">
        <f t="shared" si="54"/>
        <v>6.3610333333333338E-2</v>
      </c>
      <c r="AR23" s="181">
        <f t="shared" si="55"/>
        <v>0.31860333333333335</v>
      </c>
      <c r="AS23" s="181">
        <f t="shared" si="8"/>
        <v>151.94361799307958</v>
      </c>
      <c r="AT23" s="181">
        <f t="shared" si="9"/>
        <v>121.63907368421052</v>
      </c>
      <c r="AU23" s="181">
        <f t="shared" si="10"/>
        <v>94.701700965215821</v>
      </c>
      <c r="AV23" s="181">
        <f t="shared" si="11"/>
        <v>71.131499836095443</v>
      </c>
      <c r="AW23" s="181">
        <f t="shared" si="12"/>
        <v>50.928470296849405</v>
      </c>
      <c r="AX23" s="181">
        <f t="shared" si="13"/>
        <v>34.092612347477711</v>
      </c>
      <c r="AY23" s="181">
        <f t="shared" si="14"/>
        <v>20.623925987980343</v>
      </c>
      <c r="AZ23" s="181">
        <f t="shared" si="15"/>
        <v>10.522411218357322</v>
      </c>
      <c r="BA23" s="181">
        <f t="shared" si="16"/>
        <v>3.7880680386086407</v>
      </c>
      <c r="BB23" s="181">
        <f t="shared" si="17"/>
        <v>0.42089644873429521</v>
      </c>
      <c r="BC23" s="181">
        <f t="shared" si="18"/>
        <v>0</v>
      </c>
      <c r="BD23" s="181">
        <f t="shared" si="19"/>
        <v>1.2886912251216609</v>
      </c>
      <c r="BE23" s="181">
        <f t="shared" si="20"/>
        <v>1.0316669364547368</v>
      </c>
      <c r="BF23" s="181">
        <f t="shared" si="21"/>
        <v>0.80320090208413786</v>
      </c>
      <c r="BG23" s="181">
        <f t="shared" si="22"/>
        <v>0.60329312200986351</v>
      </c>
      <c r="BH23" s="181">
        <f t="shared" si="23"/>
        <v>0.4319435962319142</v>
      </c>
      <c r="BI23" s="181">
        <f t="shared" si="24"/>
        <v>0.28915232475028974</v>
      </c>
      <c r="BJ23" s="181">
        <f t="shared" si="25"/>
        <v>0.17491930756499008</v>
      </c>
      <c r="BK23" s="181">
        <f t="shared" si="26"/>
        <v>8.9244544676015378E-2</v>
      </c>
      <c r="BL23" s="181">
        <f t="shared" si="27"/>
        <v>3.2128036083365577E-2</v>
      </c>
      <c r="BM23" s="181">
        <f t="shared" si="28"/>
        <v>3.5697817870406351E-3</v>
      </c>
      <c r="BN23" s="181">
        <f t="shared" si="29"/>
        <v>0</v>
      </c>
      <c r="BO23" s="191">
        <f t="shared" si="56"/>
        <v>4.7478097767640151</v>
      </c>
      <c r="BP23" s="191">
        <f t="shared" si="30"/>
        <v>0.36817242477926204</v>
      </c>
      <c r="BQ23" s="191">
        <f t="shared" si="31"/>
        <v>0.22911723574908202</v>
      </c>
      <c r="BR23" s="191">
        <f t="shared" si="32"/>
        <v>0.12728659362369871</v>
      </c>
      <c r="BS23" s="191">
        <f t="shared" si="33"/>
        <v>5.7230698177490047E-2</v>
      </c>
      <c r="BT23" s="191">
        <f t="shared" si="34"/>
        <v>1.349974918483415E-2</v>
      </c>
      <c r="BU23" s="191">
        <f t="shared" si="35"/>
        <v>-9.3560535798909838E-3</v>
      </c>
      <c r="BV23" s="191">
        <f t="shared" si="36"/>
        <v>-1.6786510342307319E-2</v>
      </c>
      <c r="BW23" s="191">
        <f t="shared" si="37"/>
        <v>-1.4241421328036838E-2</v>
      </c>
      <c r="BX23" s="191">
        <f t="shared" si="38"/>
        <v>-7.1705867627015136E-3</v>
      </c>
      <c r="BY23" s="191">
        <f t="shared" si="39"/>
        <v>-1.0238068719233108E-3</v>
      </c>
      <c r="BZ23" s="191">
        <f t="shared" si="40"/>
        <v>0</v>
      </c>
      <c r="CA23" s="191">
        <f t="shared" si="57"/>
        <v>0.74672832262950706</v>
      </c>
      <c r="CJ23" s="178">
        <f t="shared" si="41"/>
        <v>4.2333333333333334E-2</v>
      </c>
      <c r="CK23" s="181">
        <f t="shared" si="42"/>
        <v>4.2480444444444446E-2</v>
      </c>
      <c r="CL23" s="182">
        <f t="shared" si="58"/>
        <v>4.2333333333333334E-2</v>
      </c>
      <c r="CM23" s="162">
        <f t="shared" si="59"/>
        <v>2.1240222222222223E-2</v>
      </c>
      <c r="CN23" s="181">
        <f t="shared" si="60"/>
        <v>6.357355555555555E-2</v>
      </c>
      <c r="CO23" s="180">
        <f t="shared" si="43"/>
        <v>6.289474045121031E-2</v>
      </c>
      <c r="CP23" s="180">
        <f t="shared" si="44"/>
        <v>3.1556651900614872E-2</v>
      </c>
      <c r="CQ23" s="180">
        <f t="shared" si="45"/>
        <v>9.4451392351825175E-2</v>
      </c>
      <c r="CR23" s="183">
        <f t="shared" si="46"/>
        <v>9.984540046629636E-3</v>
      </c>
      <c r="CS23" s="183">
        <f t="shared" si="47"/>
        <v>-3.3513514947918562E-3</v>
      </c>
      <c r="CT23" s="186">
        <f t="shared" si="61"/>
        <v>6.6331885518377803E-3</v>
      </c>
      <c r="CU23" s="180">
        <f>SUM($CT$19:CT23)</f>
        <v>2.8427208928809948E-2</v>
      </c>
      <c r="CV23" s="181">
        <f t="shared" si="48"/>
        <v>5.3005674158523375</v>
      </c>
      <c r="CW23" s="181">
        <f t="shared" si="49"/>
        <v>0.37225140070046481</v>
      </c>
      <c r="CX23" s="188">
        <f t="shared" si="50"/>
        <v>35.608573325730113</v>
      </c>
      <c r="CY23" s="188">
        <f t="shared" si="62"/>
        <v>0.74672832262950706</v>
      </c>
    </row>
    <row r="24" spans="1:103" s="77" customFormat="1" ht="12.75" x14ac:dyDescent="0.2">
      <c r="A24" s="73"/>
      <c r="B24" s="77" t="s">
        <v>129</v>
      </c>
      <c r="G24" s="73"/>
      <c r="K24" s="73"/>
      <c r="L24" s="157"/>
      <c r="M24" s="156"/>
      <c r="N24" s="156"/>
      <c r="O24" s="156"/>
      <c r="P24" s="156"/>
      <c r="Q24" s="156"/>
      <c r="R24" s="156"/>
      <c r="S24" s="156"/>
      <c r="T24" s="156"/>
      <c r="U24" s="157"/>
      <c r="V24" s="88"/>
      <c r="W24" s="88">
        <v>5</v>
      </c>
      <c r="X24" s="181">
        <f t="shared" si="3"/>
        <v>3.4</v>
      </c>
      <c r="Y24" s="168">
        <f t="shared" si="51"/>
        <v>-3.4</v>
      </c>
      <c r="Z24" s="178">
        <f t="shared" si="63"/>
        <v>0.53333333333333333</v>
      </c>
      <c r="AA24" s="84">
        <f t="shared" si="52"/>
        <v>0.66666666666666663</v>
      </c>
      <c r="AB24" s="84">
        <f t="shared" si="53"/>
        <v>0.6</v>
      </c>
      <c r="AC24" s="178">
        <f t="shared" si="4"/>
        <v>0.67498999999999998</v>
      </c>
      <c r="AD24" s="178">
        <f t="shared" si="5"/>
        <v>0.32250000000000001</v>
      </c>
      <c r="AE24" s="181">
        <f t="shared" si="6"/>
        <v>2.0249999999999999</v>
      </c>
      <c r="AF24" s="181">
        <f t="shared" si="7"/>
        <v>0.64124049999999988</v>
      </c>
      <c r="AG24" s="181">
        <f t="shared" si="7"/>
        <v>0.57374150000000013</v>
      </c>
      <c r="AH24" s="181">
        <f t="shared" si="7"/>
        <v>0.50624249999999993</v>
      </c>
      <c r="AI24" s="181">
        <f t="shared" si="7"/>
        <v>0.43874349999999995</v>
      </c>
      <c r="AJ24" s="181">
        <f t="shared" si="7"/>
        <v>0.37124449999999998</v>
      </c>
      <c r="AK24" s="181">
        <f t="shared" si="7"/>
        <v>0.3037455</v>
      </c>
      <c r="AL24" s="181">
        <f t="shared" si="7"/>
        <v>0.23624650000000003</v>
      </c>
      <c r="AM24" s="181">
        <f t="shared" si="7"/>
        <v>0.16874750000000005</v>
      </c>
      <c r="AN24" s="181">
        <f t="shared" si="7"/>
        <v>0.10124850000000007</v>
      </c>
      <c r="AO24" s="181">
        <f t="shared" si="7"/>
        <v>3.3749500000000099E-2</v>
      </c>
      <c r="AP24" s="181">
        <f t="shared" si="7"/>
        <v>0</v>
      </c>
      <c r="AQ24" s="168">
        <f t="shared" si="54"/>
        <v>6.7499000000000003E-2</v>
      </c>
      <c r="AR24" s="181">
        <f t="shared" si="55"/>
        <v>0.35248999999999997</v>
      </c>
      <c r="AS24" s="181">
        <f t="shared" si="8"/>
        <v>151.94361799307956</v>
      </c>
      <c r="AT24" s="181">
        <f t="shared" si="9"/>
        <v>121.6390736842106</v>
      </c>
      <c r="AU24" s="181">
        <f t="shared" si="10"/>
        <v>94.701700965215778</v>
      </c>
      <c r="AV24" s="181">
        <f t="shared" si="11"/>
        <v>71.131499836095415</v>
      </c>
      <c r="AW24" s="181">
        <f t="shared" si="12"/>
        <v>50.928470296849383</v>
      </c>
      <c r="AX24" s="181">
        <f t="shared" si="13"/>
        <v>34.092612347477697</v>
      </c>
      <c r="AY24" s="181">
        <f t="shared" si="14"/>
        <v>20.623925987980336</v>
      </c>
      <c r="AZ24" s="181">
        <f t="shared" si="15"/>
        <v>10.522411218357318</v>
      </c>
      <c r="BA24" s="181">
        <f t="shared" si="16"/>
        <v>3.7880680386086376</v>
      </c>
      <c r="BB24" s="181">
        <f t="shared" si="17"/>
        <v>0.42089644873429499</v>
      </c>
      <c r="BC24" s="181">
        <f t="shared" si="18"/>
        <v>0</v>
      </c>
      <c r="BD24" s="181">
        <f t="shared" si="19"/>
        <v>1.3674723027886502</v>
      </c>
      <c r="BE24" s="181">
        <f t="shared" si="20"/>
        <v>1.0947354446147375</v>
      </c>
      <c r="BF24" s="181">
        <f t="shared" si="21"/>
        <v>0.85230268179348001</v>
      </c>
      <c r="BG24" s="181">
        <f t="shared" si="22"/>
        <v>0.64017401432488064</v>
      </c>
      <c r="BH24" s="181">
        <f t="shared" si="23"/>
        <v>0.4583494422089382</v>
      </c>
      <c r="BI24" s="181">
        <f t="shared" si="24"/>
        <v>0.30682896544565297</v>
      </c>
      <c r="BJ24" s="181">
        <f t="shared" si="25"/>
        <v>0.18561258403502462</v>
      </c>
      <c r="BK24" s="181">
        <f t="shared" si="26"/>
        <v>9.4700297977053413E-2</v>
      </c>
      <c r="BL24" s="181">
        <f t="shared" si="27"/>
        <v>3.409210727173926E-2</v>
      </c>
      <c r="BM24" s="181">
        <f t="shared" si="28"/>
        <v>3.7880119190821572E-3</v>
      </c>
      <c r="BN24" s="181">
        <f t="shared" si="29"/>
        <v>0</v>
      </c>
      <c r="BO24" s="191">
        <f t="shared" si="56"/>
        <v>5.0380558523792383</v>
      </c>
      <c r="BP24" s="191">
        <f t="shared" si="30"/>
        <v>0.39485831116637399</v>
      </c>
      <c r="BQ24" s="191">
        <f t="shared" si="31"/>
        <v>0.24221185922417776</v>
      </c>
      <c r="BR24" s="191">
        <f t="shared" si="32"/>
        <v>0.13104366808245199</v>
      </c>
      <c r="BS24" s="191">
        <f t="shared" si="33"/>
        <v>5.5217249344571083E-2</v>
      </c>
      <c r="BT24" s="191">
        <f t="shared" si="34"/>
        <v>8.5961146139075344E-3</v>
      </c>
      <c r="BU24" s="191">
        <f t="shared" si="35"/>
        <v>-1.4956224506165622E-2</v>
      </c>
      <c r="BV24" s="191">
        <f t="shared" si="36"/>
        <v>-2.1576256412275376E-2</v>
      </c>
      <c r="BW24" s="191">
        <f t="shared" si="37"/>
        <v>-1.7400469501048729E-2</v>
      </c>
      <c r="BX24" s="191">
        <f t="shared" si="38"/>
        <v>-8.5653521691126753E-3</v>
      </c>
      <c r="BY24" s="191">
        <f t="shared" si="39"/>
        <v>-1.2073928130942057E-3</v>
      </c>
      <c r="BZ24" s="191">
        <f t="shared" si="40"/>
        <v>0</v>
      </c>
      <c r="CA24" s="191">
        <f t="shared" si="57"/>
        <v>0.76822150702978576</v>
      </c>
      <c r="CJ24" s="178">
        <f t="shared" si="41"/>
        <v>4.3000000000000003E-2</v>
      </c>
      <c r="CK24" s="181">
        <f t="shared" si="42"/>
        <v>4.6998666666666661E-2</v>
      </c>
      <c r="CL24" s="182">
        <f t="shared" si="58"/>
        <v>4.3000000000000003E-2</v>
      </c>
      <c r="CM24" s="162">
        <f t="shared" si="59"/>
        <v>2.349933333333333E-2</v>
      </c>
      <c r="CN24" s="181">
        <f t="shared" si="60"/>
        <v>6.6499333333333327E-2</v>
      </c>
      <c r="CO24" s="180">
        <f t="shared" si="43"/>
        <v>6.3885208804772692E-2</v>
      </c>
      <c r="CP24" s="180">
        <f t="shared" si="44"/>
        <v>3.4913018994719873E-2</v>
      </c>
      <c r="CQ24" s="180">
        <f t="shared" si="45"/>
        <v>9.8798227799492544E-2</v>
      </c>
      <c r="CR24" s="183">
        <f t="shared" si="46"/>
        <v>1.0301489919769596E-2</v>
      </c>
      <c r="CS24" s="183">
        <f t="shared" si="47"/>
        <v>-4.1021633551496023E-3</v>
      </c>
      <c r="CT24" s="186">
        <f t="shared" si="61"/>
        <v>6.1993265646199938E-3</v>
      </c>
      <c r="CU24" s="180">
        <f>SUM($CT$19:CT24)</f>
        <v>3.4626535493429943E-2</v>
      </c>
      <c r="CV24" s="181">
        <f t="shared" si="48"/>
        <v>5.5445097629397422</v>
      </c>
      <c r="CW24" s="181">
        <f t="shared" si="49"/>
        <v>0.34790327141236227</v>
      </c>
      <c r="CX24" s="188">
        <f t="shared" si="50"/>
        <v>37.785418892844291</v>
      </c>
      <c r="CY24" s="188">
        <f t="shared" si="62"/>
        <v>0.76822150702978576</v>
      </c>
    </row>
    <row r="25" spans="1:103" s="77" customFormat="1" ht="12.75" x14ac:dyDescent="0.2">
      <c r="A25" s="73"/>
      <c r="B25" s="80" t="s">
        <v>82</v>
      </c>
      <c r="C25" s="115">
        <f>MAX(C22,G22)</f>
        <v>1.8368967401201968</v>
      </c>
      <c r="G25" s="73"/>
      <c r="K25" s="73"/>
      <c r="L25" s="157"/>
      <c r="M25" s="156"/>
      <c r="N25" s="156"/>
      <c r="O25" s="156"/>
      <c r="P25" s="156"/>
      <c r="Q25" s="156"/>
      <c r="R25" s="156"/>
      <c r="S25" s="156"/>
      <c r="T25" s="156"/>
      <c r="U25" s="157"/>
      <c r="V25" s="88"/>
      <c r="W25" s="88">
        <v>6</v>
      </c>
      <c r="X25" s="181">
        <f t="shared" si="3"/>
        <v>3.2666666666666666</v>
      </c>
      <c r="Y25" s="168">
        <f t="shared" si="51"/>
        <v>-3.2666666666666666</v>
      </c>
      <c r="Z25" s="178">
        <f t="shared" si="63"/>
        <v>0.66666666666666663</v>
      </c>
      <c r="AA25" s="84">
        <f t="shared" si="52"/>
        <v>0.79999999999999993</v>
      </c>
      <c r="AB25" s="84">
        <f t="shared" si="53"/>
        <v>0.73333333333333328</v>
      </c>
      <c r="AC25" s="178">
        <f t="shared" si="4"/>
        <v>0.71387666666666671</v>
      </c>
      <c r="AD25" s="178">
        <f t="shared" si="5"/>
        <v>0.32750000000000001</v>
      </c>
      <c r="AE25" s="181">
        <f t="shared" si="6"/>
        <v>2.1416666666666666</v>
      </c>
      <c r="AF25" s="181">
        <f t="shared" si="7"/>
        <v>0.67818283333333351</v>
      </c>
      <c r="AG25" s="181">
        <f t="shared" si="7"/>
        <v>0.60679516666666666</v>
      </c>
      <c r="AH25" s="181">
        <f t="shared" si="7"/>
        <v>0.53540750000000004</v>
      </c>
      <c r="AI25" s="181">
        <f t="shared" si="7"/>
        <v>0.46401983333333341</v>
      </c>
      <c r="AJ25" s="181">
        <f t="shared" si="7"/>
        <v>0.39263216666666678</v>
      </c>
      <c r="AK25" s="181">
        <f t="shared" si="7"/>
        <v>0.32124450000000015</v>
      </c>
      <c r="AL25" s="181">
        <f t="shared" si="7"/>
        <v>0.24985683333333331</v>
      </c>
      <c r="AM25" s="181">
        <f t="shared" si="7"/>
        <v>0.17846916666666668</v>
      </c>
      <c r="AN25" s="181">
        <f t="shared" si="7"/>
        <v>0.10708150000000005</v>
      </c>
      <c r="AO25" s="181">
        <f t="shared" si="7"/>
        <v>3.5693833333333203E-2</v>
      </c>
      <c r="AP25" s="181">
        <f t="shared" si="7"/>
        <v>0</v>
      </c>
      <c r="AQ25" s="168">
        <f t="shared" si="54"/>
        <v>7.1387666666666669E-2</v>
      </c>
      <c r="AR25" s="181">
        <f t="shared" si="55"/>
        <v>0.3863766666666667</v>
      </c>
      <c r="AS25" s="181">
        <f t="shared" si="8"/>
        <v>151.94361799307964</v>
      </c>
      <c r="AT25" s="181">
        <f t="shared" si="9"/>
        <v>121.63907368421052</v>
      </c>
      <c r="AU25" s="181">
        <f t="shared" si="10"/>
        <v>94.701700965215821</v>
      </c>
      <c r="AV25" s="181">
        <f t="shared" si="11"/>
        <v>71.131499836095443</v>
      </c>
      <c r="AW25" s="181">
        <f t="shared" si="12"/>
        <v>50.928470296849419</v>
      </c>
      <c r="AX25" s="181">
        <f t="shared" si="13"/>
        <v>34.092612347477719</v>
      </c>
      <c r="AY25" s="181">
        <f t="shared" si="14"/>
        <v>20.623925987980321</v>
      </c>
      <c r="AZ25" s="181">
        <f t="shared" si="15"/>
        <v>10.522411218357313</v>
      </c>
      <c r="BA25" s="181">
        <f t="shared" si="16"/>
        <v>3.7880680386086354</v>
      </c>
      <c r="BB25" s="181">
        <f t="shared" si="17"/>
        <v>0.42089644873428939</v>
      </c>
      <c r="BC25" s="181">
        <f t="shared" si="18"/>
        <v>0</v>
      </c>
      <c r="BD25" s="181">
        <f t="shared" si="19"/>
        <v>1.4462533804556408</v>
      </c>
      <c r="BE25" s="181">
        <f t="shared" si="20"/>
        <v>1.1578039527747368</v>
      </c>
      <c r="BF25" s="181">
        <f t="shared" si="21"/>
        <v>0.90140446150282294</v>
      </c>
      <c r="BG25" s="181">
        <f t="shared" si="22"/>
        <v>0.6770549066398982</v>
      </c>
      <c r="BH25" s="181">
        <f t="shared" si="23"/>
        <v>0.48475528818596275</v>
      </c>
      <c r="BI25" s="181">
        <f t="shared" si="24"/>
        <v>0.32450560614101648</v>
      </c>
      <c r="BJ25" s="181">
        <f t="shared" si="25"/>
        <v>0.1963058605050591</v>
      </c>
      <c r="BK25" s="181">
        <f t="shared" si="26"/>
        <v>0.10015605127809143</v>
      </c>
      <c r="BL25" s="181">
        <f t="shared" si="27"/>
        <v>3.6056178460112942E-2</v>
      </c>
      <c r="BM25" s="181">
        <f t="shared" si="28"/>
        <v>4.0062420511236272E-3</v>
      </c>
      <c r="BN25" s="181">
        <f t="shared" si="29"/>
        <v>0</v>
      </c>
      <c r="BO25" s="191">
        <f t="shared" si="56"/>
        <v>5.328301927994465</v>
      </c>
      <c r="BP25" s="191">
        <f t="shared" si="30"/>
        <v>0.42202565497946898</v>
      </c>
      <c r="BQ25" s="191">
        <f t="shared" si="31"/>
        <v>0.25520141056467827</v>
      </c>
      <c r="BR25" s="191">
        <f t="shared" si="32"/>
        <v>0.1343370580681503</v>
      </c>
      <c r="BS25" s="191">
        <f t="shared" si="33"/>
        <v>5.2568686958726081E-2</v>
      </c>
      <c r="BT25" s="191">
        <f t="shared" si="34"/>
        <v>3.032386705247329E-3</v>
      </c>
      <c r="BU25" s="191">
        <f t="shared" si="35"/>
        <v>-2.1135753223444336E-2</v>
      </c>
      <c r="BV25" s="191">
        <f t="shared" si="36"/>
        <v>-2.6799643358507264E-2</v>
      </c>
      <c r="BW25" s="191">
        <f t="shared" si="37"/>
        <v>-2.0823194231099799E-2</v>
      </c>
      <c r="BX25" s="191">
        <f t="shared" si="38"/>
        <v>-1.007031637238032E-2</v>
      </c>
      <c r="BY25" s="191">
        <f t="shared" si="39"/>
        <v>-1.404920313507179E-3</v>
      </c>
      <c r="BZ25" s="191">
        <f t="shared" si="40"/>
        <v>0</v>
      </c>
      <c r="CA25" s="191">
        <f t="shared" si="57"/>
        <v>0.78693136977733213</v>
      </c>
      <c r="CJ25" s="178">
        <f t="shared" si="41"/>
        <v>4.3666666666666666E-2</v>
      </c>
      <c r="CK25" s="181">
        <f t="shared" si="42"/>
        <v>5.151688888888889E-2</v>
      </c>
      <c r="CL25" s="182">
        <f t="shared" si="58"/>
        <v>4.3666666666666666E-2</v>
      </c>
      <c r="CM25" s="162">
        <f t="shared" si="59"/>
        <v>2.5758444444444445E-2</v>
      </c>
      <c r="CN25" s="181">
        <f t="shared" si="60"/>
        <v>6.9425111111111104E-2</v>
      </c>
      <c r="CO25" s="180">
        <f t="shared" si="43"/>
        <v>6.4875677158335046E-2</v>
      </c>
      <c r="CP25" s="180">
        <f t="shared" si="44"/>
        <v>3.8269386088824887E-2</v>
      </c>
      <c r="CQ25" s="180">
        <f t="shared" si="45"/>
        <v>0.10314506324715993</v>
      </c>
      <c r="CR25" s="183">
        <f t="shared" si="46"/>
        <v>1.0623392134677364E-2</v>
      </c>
      <c r="CS25" s="183">
        <f t="shared" si="47"/>
        <v>-4.9287992774599545E-3</v>
      </c>
      <c r="CT25" s="186">
        <f t="shared" si="61"/>
        <v>5.6945928572174091E-3</v>
      </c>
      <c r="CU25" s="180">
        <f>SUM($CT$19:CT25)</f>
        <v>4.0321128350647349E-2</v>
      </c>
      <c r="CV25" s="181">
        <f t="shared" si="48"/>
        <v>5.7884521100271478</v>
      </c>
      <c r="CW25" s="181">
        <f t="shared" si="49"/>
        <v>0.31957785474539674</v>
      </c>
      <c r="CX25" s="188">
        <f t="shared" si="50"/>
        <v>39.96226445995849</v>
      </c>
      <c r="CY25" s="188">
        <f t="shared" si="62"/>
        <v>0.78693136977733213</v>
      </c>
    </row>
    <row r="26" spans="1:103" s="77" customFormat="1" ht="12.75" x14ac:dyDescent="0.2">
      <c r="A26" s="79"/>
      <c r="I26" s="73"/>
      <c r="J26" s="73"/>
      <c r="K26" s="73"/>
      <c r="L26" s="157"/>
      <c r="M26" s="156"/>
      <c r="N26" s="156"/>
      <c r="O26" s="156"/>
      <c r="P26" s="156"/>
      <c r="Q26" s="156"/>
      <c r="R26" s="156"/>
      <c r="S26" s="156"/>
      <c r="T26" s="156"/>
      <c r="U26" s="157"/>
      <c r="V26" s="88"/>
      <c r="W26" s="88">
        <v>7</v>
      </c>
      <c r="X26" s="181">
        <f t="shared" si="3"/>
        <v>3.1333333333333333</v>
      </c>
      <c r="Y26" s="168">
        <f t="shared" si="51"/>
        <v>-3.1333333333333333</v>
      </c>
      <c r="Z26" s="178">
        <f t="shared" si="63"/>
        <v>0.79999999999999993</v>
      </c>
      <c r="AA26" s="84">
        <f t="shared" si="52"/>
        <v>0.93333333333333324</v>
      </c>
      <c r="AB26" s="84">
        <f t="shared" si="53"/>
        <v>0.86666666666666659</v>
      </c>
      <c r="AC26" s="178">
        <f t="shared" si="4"/>
        <v>0.75276333333333334</v>
      </c>
      <c r="AD26" s="178">
        <f t="shared" si="5"/>
        <v>0.33250000000000002</v>
      </c>
      <c r="AE26" s="181">
        <f t="shared" si="6"/>
        <v>2.2583333333333333</v>
      </c>
      <c r="AF26" s="181">
        <f t="shared" si="7"/>
        <v>0.7151251666666667</v>
      </c>
      <c r="AG26" s="181">
        <f t="shared" si="7"/>
        <v>0.6398488333333332</v>
      </c>
      <c r="AH26" s="181">
        <f t="shared" si="7"/>
        <v>0.56457250000000014</v>
      </c>
      <c r="AI26" s="181">
        <f t="shared" si="7"/>
        <v>0.48929616666666664</v>
      </c>
      <c r="AJ26" s="181">
        <f t="shared" si="7"/>
        <v>0.41401983333333336</v>
      </c>
      <c r="AK26" s="181">
        <f t="shared" si="7"/>
        <v>0.33874350000000009</v>
      </c>
      <c r="AL26" s="181">
        <f t="shared" si="7"/>
        <v>0.26346716666666681</v>
      </c>
      <c r="AM26" s="181">
        <f t="shared" si="7"/>
        <v>0.18819083333333353</v>
      </c>
      <c r="AN26" s="181">
        <f t="shared" si="7"/>
        <v>0.11291450000000003</v>
      </c>
      <c r="AO26" s="181">
        <f t="shared" si="7"/>
        <v>3.7638166666666528E-2</v>
      </c>
      <c r="AP26" s="181">
        <f t="shared" si="7"/>
        <v>0</v>
      </c>
      <c r="AQ26" s="168">
        <f t="shared" si="54"/>
        <v>7.5276333333333334E-2</v>
      </c>
      <c r="AR26" s="181">
        <f t="shared" si="55"/>
        <v>0.42026333333333332</v>
      </c>
      <c r="AS26" s="181">
        <f t="shared" si="8"/>
        <v>151.94361799307961</v>
      </c>
      <c r="AT26" s="181">
        <f t="shared" si="9"/>
        <v>121.6390736842105</v>
      </c>
      <c r="AU26" s="181">
        <f t="shared" si="10"/>
        <v>94.701700965215863</v>
      </c>
      <c r="AV26" s="181">
        <f t="shared" si="11"/>
        <v>71.131499836095415</v>
      </c>
      <c r="AW26" s="181">
        <f t="shared" si="12"/>
        <v>50.928470296849405</v>
      </c>
      <c r="AX26" s="181">
        <f t="shared" si="13"/>
        <v>34.092612347477711</v>
      </c>
      <c r="AY26" s="181">
        <f t="shared" si="14"/>
        <v>20.623925987980357</v>
      </c>
      <c r="AZ26" s="181">
        <f t="shared" si="15"/>
        <v>10.522411218357336</v>
      </c>
      <c r="BA26" s="181">
        <f t="shared" si="16"/>
        <v>3.7880680386086354</v>
      </c>
      <c r="BB26" s="181">
        <f t="shared" si="17"/>
        <v>0.42089644873428939</v>
      </c>
      <c r="BC26" s="181">
        <f t="shared" si="18"/>
        <v>0</v>
      </c>
      <c r="BD26" s="181">
        <f t="shared" si="19"/>
        <v>1.5250344581226301</v>
      </c>
      <c r="BE26" s="181">
        <f t="shared" si="20"/>
        <v>1.2208724609347366</v>
      </c>
      <c r="BF26" s="181">
        <f t="shared" si="21"/>
        <v>0.95050624121216587</v>
      </c>
      <c r="BG26" s="181">
        <f t="shared" si="22"/>
        <v>0.71393579895491521</v>
      </c>
      <c r="BH26" s="181">
        <f t="shared" si="23"/>
        <v>0.51116113416298681</v>
      </c>
      <c r="BI26" s="181">
        <f t="shared" si="24"/>
        <v>0.34218224683637971</v>
      </c>
      <c r="BJ26" s="181">
        <f t="shared" si="25"/>
        <v>0.20699913697509403</v>
      </c>
      <c r="BK26" s="181">
        <f t="shared" si="26"/>
        <v>0.10561180457912972</v>
      </c>
      <c r="BL26" s="181">
        <f t="shared" si="27"/>
        <v>3.8020249648486645E-2</v>
      </c>
      <c r="BM26" s="181">
        <f t="shared" si="28"/>
        <v>4.2244721831651479E-3</v>
      </c>
      <c r="BN26" s="181">
        <f t="shared" si="29"/>
        <v>0</v>
      </c>
      <c r="BO26" s="191">
        <f t="shared" si="56"/>
        <v>5.61854800360969</v>
      </c>
      <c r="BP26" s="191">
        <f t="shared" si="30"/>
        <v>0.44967445621854535</v>
      </c>
      <c r="BQ26" s="191">
        <f t="shared" si="31"/>
        <v>0.26808588977058445</v>
      </c>
      <c r="BR26" s="191">
        <f t="shared" si="32"/>
        <v>0.13716676358079347</v>
      </c>
      <c r="BS26" s="191">
        <f t="shared" si="33"/>
        <v>4.9285011019954826E-2</v>
      </c>
      <c r="BT26" s="191">
        <f t="shared" si="34"/>
        <v>-3.1914345411465862E-3</v>
      </c>
      <c r="BU26" s="191">
        <f t="shared" si="35"/>
        <v>-2.7894639731727167E-2</v>
      </c>
      <c r="BV26" s="191">
        <f t="shared" si="36"/>
        <v>-3.2456671181002976E-2</v>
      </c>
      <c r="BW26" s="191">
        <f t="shared" si="37"/>
        <v>-2.4509595518190059E-2</v>
      </c>
      <c r="BX26" s="191">
        <f t="shared" si="38"/>
        <v>-1.1685479372504446E-2</v>
      </c>
      <c r="BY26" s="191">
        <f t="shared" si="39"/>
        <v>-1.6163893731622624E-3</v>
      </c>
      <c r="BZ26" s="191">
        <f t="shared" si="40"/>
        <v>0</v>
      </c>
      <c r="CA26" s="191">
        <f t="shared" si="57"/>
        <v>0.80285791087214475</v>
      </c>
      <c r="CJ26" s="178">
        <f t="shared" si="41"/>
        <v>4.4333333333333336E-2</v>
      </c>
      <c r="CK26" s="181">
        <f t="shared" si="42"/>
        <v>5.6035111111111112E-2</v>
      </c>
      <c r="CL26" s="182">
        <f t="shared" si="58"/>
        <v>4.4333333333333336E-2</v>
      </c>
      <c r="CM26" s="162">
        <f t="shared" si="59"/>
        <v>2.8017555555555556E-2</v>
      </c>
      <c r="CN26" s="181">
        <f t="shared" si="60"/>
        <v>7.2350888888888895E-2</v>
      </c>
      <c r="CO26" s="180">
        <f t="shared" si="43"/>
        <v>6.5866145511897414E-2</v>
      </c>
      <c r="CP26" s="180">
        <f t="shared" si="44"/>
        <v>4.1625753182929895E-2</v>
      </c>
      <c r="CQ26" s="180">
        <f t="shared" si="45"/>
        <v>0.10749189869482732</v>
      </c>
      <c r="CR26" s="183">
        <f t="shared" si="46"/>
        <v>1.0950246691352946E-2</v>
      </c>
      <c r="CS26" s="183">
        <f t="shared" si="47"/>
        <v>-5.8312592617229091E-3</v>
      </c>
      <c r="CT26" s="186">
        <f t="shared" si="61"/>
        <v>5.1189874296300366E-3</v>
      </c>
      <c r="CU26" s="180">
        <f>SUM($CT$19:CT26)</f>
        <v>4.5440115780277388E-2</v>
      </c>
      <c r="CV26" s="181">
        <f t="shared" si="48"/>
        <v>6.0323944571145534</v>
      </c>
      <c r="CW26" s="181">
        <f t="shared" si="49"/>
        <v>0.28727515069956888</v>
      </c>
      <c r="CX26" s="188">
        <f t="shared" si="50"/>
        <v>42.139110027072675</v>
      </c>
      <c r="CY26" s="188">
        <f t="shared" si="62"/>
        <v>0.80285791087214475</v>
      </c>
    </row>
    <row r="27" spans="1:103" s="77" customFormat="1" ht="12.75" x14ac:dyDescent="0.2">
      <c r="B27" s="77" t="s">
        <v>190</v>
      </c>
      <c r="L27" s="157"/>
      <c r="M27" s="156"/>
      <c r="N27" s="156"/>
      <c r="O27" s="156"/>
      <c r="P27" s="156"/>
      <c r="Q27" s="156"/>
      <c r="R27" s="156"/>
      <c r="S27" s="156"/>
      <c r="T27" s="156"/>
      <c r="U27" s="157"/>
      <c r="V27" s="88"/>
      <c r="W27" s="88">
        <v>8</v>
      </c>
      <c r="X27" s="181">
        <f t="shared" si="3"/>
        <v>3</v>
      </c>
      <c r="Y27" s="168">
        <f t="shared" si="51"/>
        <v>-3</v>
      </c>
      <c r="Z27" s="178">
        <f t="shared" si="63"/>
        <v>0.93333333333333324</v>
      </c>
      <c r="AA27" s="84">
        <f t="shared" si="52"/>
        <v>1.0666666666666667</v>
      </c>
      <c r="AB27" s="84">
        <f t="shared" si="53"/>
        <v>1</v>
      </c>
      <c r="AC27" s="178">
        <f t="shared" si="4"/>
        <v>0.79164999999999996</v>
      </c>
      <c r="AD27" s="178">
        <f t="shared" si="5"/>
        <v>0.33750000000000002</v>
      </c>
      <c r="AE27" s="181">
        <f t="shared" si="6"/>
        <v>2.375</v>
      </c>
      <c r="AF27" s="181">
        <f t="shared" si="7"/>
        <v>0.75206749999999989</v>
      </c>
      <c r="AG27" s="181">
        <f t="shared" si="7"/>
        <v>0.67290249999999996</v>
      </c>
      <c r="AH27" s="181">
        <f t="shared" si="7"/>
        <v>0.59373750000000003</v>
      </c>
      <c r="AI27" s="181">
        <f t="shared" si="7"/>
        <v>0.51457249999999988</v>
      </c>
      <c r="AJ27" s="181">
        <f t="shared" si="7"/>
        <v>0.43540749999999995</v>
      </c>
      <c r="AK27" s="181">
        <f t="shared" si="7"/>
        <v>0.35624250000000002</v>
      </c>
      <c r="AL27" s="181">
        <f t="shared" si="7"/>
        <v>0.27707749999999987</v>
      </c>
      <c r="AM27" s="181">
        <f t="shared" si="7"/>
        <v>0.19791250000000016</v>
      </c>
      <c r="AN27" s="181">
        <f t="shared" si="7"/>
        <v>0.11874750000000001</v>
      </c>
      <c r="AO27" s="181">
        <f t="shared" si="7"/>
        <v>3.9582499999999854E-2</v>
      </c>
      <c r="AP27" s="181">
        <f t="shared" si="7"/>
        <v>0</v>
      </c>
      <c r="AQ27" s="168">
        <f t="shared" si="54"/>
        <v>7.9164999999999999E-2</v>
      </c>
      <c r="AR27" s="181">
        <f t="shared" si="55"/>
        <v>0.45414999999999994</v>
      </c>
      <c r="AS27" s="181">
        <f t="shared" si="8"/>
        <v>151.94361799307958</v>
      </c>
      <c r="AT27" s="181">
        <f t="shared" si="9"/>
        <v>121.63907368421052</v>
      </c>
      <c r="AU27" s="181">
        <f t="shared" si="10"/>
        <v>94.701700965215849</v>
      </c>
      <c r="AV27" s="181">
        <f t="shared" si="11"/>
        <v>71.131499836095415</v>
      </c>
      <c r="AW27" s="181">
        <f t="shared" si="12"/>
        <v>50.928470296849383</v>
      </c>
      <c r="AX27" s="181">
        <f t="shared" si="13"/>
        <v>34.092612347477704</v>
      </c>
      <c r="AY27" s="181">
        <f t="shared" si="14"/>
        <v>20.623925987980314</v>
      </c>
      <c r="AZ27" s="181">
        <f t="shared" si="15"/>
        <v>10.522411218357332</v>
      </c>
      <c r="BA27" s="181">
        <f t="shared" si="16"/>
        <v>3.7880680386086336</v>
      </c>
      <c r="BB27" s="181">
        <f t="shared" si="17"/>
        <v>0.42089644873428939</v>
      </c>
      <c r="BC27" s="181">
        <f t="shared" si="18"/>
        <v>0</v>
      </c>
      <c r="BD27" s="181">
        <f t="shared" si="19"/>
        <v>1.6038155357896193</v>
      </c>
      <c r="BE27" s="181">
        <f t="shared" si="20"/>
        <v>1.2839409690947368</v>
      </c>
      <c r="BF27" s="181">
        <f t="shared" si="21"/>
        <v>0.99960802092150836</v>
      </c>
      <c r="BG27" s="181">
        <f t="shared" si="22"/>
        <v>0.75081669126993245</v>
      </c>
      <c r="BH27" s="181">
        <f t="shared" si="23"/>
        <v>0.53756698014001081</v>
      </c>
      <c r="BI27" s="181">
        <f t="shared" si="24"/>
        <v>0.359858887531743</v>
      </c>
      <c r="BJ27" s="181">
        <f t="shared" si="25"/>
        <v>0.21769241344512821</v>
      </c>
      <c r="BK27" s="181">
        <f t="shared" si="26"/>
        <v>0.11106755788016776</v>
      </c>
      <c r="BL27" s="181">
        <f t="shared" si="27"/>
        <v>3.9984320836860328E-2</v>
      </c>
      <c r="BM27" s="181">
        <f t="shared" si="28"/>
        <v>4.4427023152066696E-3</v>
      </c>
      <c r="BN27" s="181">
        <f t="shared" si="29"/>
        <v>0</v>
      </c>
      <c r="BO27" s="191">
        <f t="shared" si="56"/>
        <v>5.908794079224915</v>
      </c>
      <c r="BP27" s="191">
        <f t="shared" si="30"/>
        <v>0.47780471488360382</v>
      </c>
      <c r="BQ27" s="191">
        <f t="shared" si="31"/>
        <v>0.28086529684189643</v>
      </c>
      <c r="BR27" s="191">
        <f t="shared" si="32"/>
        <v>0.13953278462038113</v>
      </c>
      <c r="BS27" s="191">
        <f t="shared" si="33"/>
        <v>4.5366221528257443E-2</v>
      </c>
      <c r="BT27" s="191">
        <f t="shared" si="34"/>
        <v>-1.0075349125274149E-2</v>
      </c>
      <c r="BU27" s="191">
        <f t="shared" si="35"/>
        <v>-3.52328840310141E-2</v>
      </c>
      <c r="BV27" s="191">
        <f t="shared" si="36"/>
        <v>-3.8547339879762485E-2</v>
      </c>
      <c r="BW27" s="191">
        <f t="shared" si="37"/>
        <v>-2.845967336231946E-2</v>
      </c>
      <c r="BX27" s="191">
        <f t="shared" si="38"/>
        <v>-1.3410841169485044E-2</v>
      </c>
      <c r="BY27" s="191">
        <f t="shared" si="39"/>
        <v>-1.8417999920594414E-3</v>
      </c>
      <c r="BZ27" s="191">
        <f t="shared" si="40"/>
        <v>0</v>
      </c>
      <c r="CA27" s="191">
        <f t="shared" si="57"/>
        <v>0.81600113031422405</v>
      </c>
      <c r="CJ27" s="178">
        <f t="shared" si="41"/>
        <v>4.5000000000000005E-2</v>
      </c>
      <c r="CK27" s="181">
        <f t="shared" si="42"/>
        <v>6.0553333333333327E-2</v>
      </c>
      <c r="CL27" s="182">
        <f t="shared" si="58"/>
        <v>4.5000000000000005E-2</v>
      </c>
      <c r="CM27" s="162">
        <f t="shared" si="59"/>
        <v>3.0276666666666664E-2</v>
      </c>
      <c r="CN27" s="181">
        <f t="shared" si="60"/>
        <v>7.5276666666666672E-2</v>
      </c>
      <c r="CO27" s="180">
        <f t="shared" si="43"/>
        <v>6.6856613865459796E-2</v>
      </c>
      <c r="CP27" s="180">
        <f t="shared" si="44"/>
        <v>4.4982120277034902E-2</v>
      </c>
      <c r="CQ27" s="180">
        <f t="shared" si="45"/>
        <v>0.11183873414249469</v>
      </c>
      <c r="CR27" s="183">
        <f t="shared" si="46"/>
        <v>1.1282053589796342E-2</v>
      </c>
      <c r="CS27" s="183">
        <f t="shared" si="47"/>
        <v>-6.8095433079384659E-3</v>
      </c>
      <c r="CT27" s="186">
        <f t="shared" si="61"/>
        <v>4.4725102818578763E-3</v>
      </c>
      <c r="CU27" s="180">
        <f>SUM($CT$19:CT27)</f>
        <v>4.9912626062135264E-2</v>
      </c>
      <c r="CV27" s="181">
        <f t="shared" si="48"/>
        <v>6.2763368042019581</v>
      </c>
      <c r="CW27" s="181">
        <f t="shared" si="49"/>
        <v>0.25099515927487864</v>
      </c>
      <c r="CX27" s="188">
        <f t="shared" si="50"/>
        <v>44.31595559418686</v>
      </c>
      <c r="CY27" s="188">
        <f t="shared" si="62"/>
        <v>0.81600113031422405</v>
      </c>
    </row>
    <row r="28" spans="1:103" s="77" customFormat="1" ht="12.75" x14ac:dyDescent="0.2">
      <c r="B28" s="77" t="s">
        <v>191</v>
      </c>
      <c r="L28" s="157"/>
      <c r="M28" s="156"/>
      <c r="N28" s="156"/>
      <c r="O28" s="156"/>
      <c r="P28" s="156"/>
      <c r="Q28" s="156"/>
      <c r="R28" s="156"/>
      <c r="S28" s="156"/>
      <c r="T28" s="156"/>
      <c r="U28" s="157"/>
      <c r="V28" s="88"/>
      <c r="W28" s="88">
        <v>9</v>
      </c>
      <c r="X28" s="181">
        <f t="shared" si="3"/>
        <v>2.8666666666666667</v>
      </c>
      <c r="Y28" s="168">
        <f t="shared" si="51"/>
        <v>-2.8666666666666667</v>
      </c>
      <c r="Z28" s="178">
        <f t="shared" si="63"/>
        <v>1.0666666666666667</v>
      </c>
      <c r="AA28" s="84">
        <f t="shared" si="52"/>
        <v>1.2</v>
      </c>
      <c r="AB28" s="84">
        <f t="shared" si="53"/>
        <v>1.1333333333333333</v>
      </c>
      <c r="AC28" s="178">
        <f t="shared" si="4"/>
        <v>0.8305366666666667</v>
      </c>
      <c r="AD28" s="178">
        <f t="shared" si="5"/>
        <v>0.34249999999999997</v>
      </c>
      <c r="AE28" s="181">
        <f t="shared" si="6"/>
        <v>2.4916666666666667</v>
      </c>
      <c r="AF28" s="181">
        <f t="shared" si="7"/>
        <v>0.7890098333333333</v>
      </c>
      <c r="AG28" s="181">
        <f t="shared" si="7"/>
        <v>0.70595616666666672</v>
      </c>
      <c r="AH28" s="181">
        <f t="shared" si="7"/>
        <v>0.62290249999999991</v>
      </c>
      <c r="AI28" s="181">
        <f t="shared" si="7"/>
        <v>0.53984883333333333</v>
      </c>
      <c r="AJ28" s="181">
        <f t="shared" si="7"/>
        <v>0.45679516666666675</v>
      </c>
      <c r="AK28" s="181">
        <f t="shared" si="7"/>
        <v>0.37374149999999995</v>
      </c>
      <c r="AL28" s="181">
        <f t="shared" si="7"/>
        <v>0.29068783333333359</v>
      </c>
      <c r="AM28" s="181">
        <f t="shared" si="7"/>
        <v>0.20763416666666679</v>
      </c>
      <c r="AN28" s="181">
        <f t="shared" si="7"/>
        <v>0.12458049999999998</v>
      </c>
      <c r="AO28" s="181">
        <f t="shared" si="7"/>
        <v>4.1526833333333624E-2</v>
      </c>
      <c r="AP28" s="181">
        <f t="shared" si="7"/>
        <v>0</v>
      </c>
      <c r="AQ28" s="168">
        <f t="shared" si="54"/>
        <v>8.3053666666666665E-2</v>
      </c>
      <c r="AR28" s="181">
        <f t="shared" si="55"/>
        <v>0.48803666666666673</v>
      </c>
      <c r="AS28" s="181">
        <f t="shared" si="8"/>
        <v>151.94361799307958</v>
      </c>
      <c r="AT28" s="181">
        <f t="shared" si="9"/>
        <v>121.63907368421052</v>
      </c>
      <c r="AU28" s="181">
        <f t="shared" si="10"/>
        <v>94.701700965215778</v>
      </c>
      <c r="AV28" s="181">
        <f t="shared" si="11"/>
        <v>71.131499836095443</v>
      </c>
      <c r="AW28" s="181">
        <f t="shared" si="12"/>
        <v>50.928470296849405</v>
      </c>
      <c r="AX28" s="181">
        <f t="shared" si="13"/>
        <v>34.092612347477676</v>
      </c>
      <c r="AY28" s="181">
        <f t="shared" si="14"/>
        <v>20.623925987980371</v>
      </c>
      <c r="AZ28" s="181">
        <f t="shared" si="15"/>
        <v>10.522411218357322</v>
      </c>
      <c r="BA28" s="181">
        <f t="shared" si="16"/>
        <v>3.7880680386086305</v>
      </c>
      <c r="BB28" s="181">
        <f t="shared" si="17"/>
        <v>0.42089644873429843</v>
      </c>
      <c r="BC28" s="181">
        <f t="shared" si="18"/>
        <v>0</v>
      </c>
      <c r="BD28" s="181">
        <f t="shared" si="19"/>
        <v>1.682596613456609</v>
      </c>
      <c r="BE28" s="181">
        <f t="shared" si="20"/>
        <v>1.3470094772547367</v>
      </c>
      <c r="BF28" s="181">
        <f t="shared" si="21"/>
        <v>1.0487098006308502</v>
      </c>
      <c r="BG28" s="181">
        <f t="shared" si="22"/>
        <v>0.78769758358495001</v>
      </c>
      <c r="BH28" s="181">
        <f t="shared" si="23"/>
        <v>0.56397282611703525</v>
      </c>
      <c r="BI28" s="181">
        <f t="shared" si="24"/>
        <v>0.37753552822710601</v>
      </c>
      <c r="BJ28" s="181">
        <f t="shared" si="25"/>
        <v>0.22838568991516342</v>
      </c>
      <c r="BK28" s="181">
        <f t="shared" si="26"/>
        <v>0.11652331118120571</v>
      </c>
      <c r="BL28" s="181">
        <f t="shared" si="27"/>
        <v>4.1948392025233996E-2</v>
      </c>
      <c r="BM28" s="181">
        <f t="shared" si="28"/>
        <v>4.6609324472482901E-3</v>
      </c>
      <c r="BN28" s="181">
        <f t="shared" si="29"/>
        <v>0</v>
      </c>
      <c r="BO28" s="191">
        <f t="shared" si="56"/>
        <v>6.1990401548401399</v>
      </c>
      <c r="BP28" s="191">
        <f t="shared" si="30"/>
        <v>0.50641643097464473</v>
      </c>
      <c r="BQ28" s="191">
        <f t="shared" si="31"/>
        <v>0.29353963177861359</v>
      </c>
      <c r="BR28" s="191">
        <f t="shared" si="32"/>
        <v>0.14143512118691332</v>
      </c>
      <c r="BS28" s="191">
        <f t="shared" si="33"/>
        <v>4.081231848363398E-2</v>
      </c>
      <c r="BT28" s="191">
        <f t="shared" si="34"/>
        <v>-1.7619357047135343E-2</v>
      </c>
      <c r="BU28" s="191">
        <f t="shared" si="35"/>
        <v>-4.3150486121305162E-2</v>
      </c>
      <c r="BV28" s="191">
        <f t="shared" si="36"/>
        <v>-4.5071649454785888E-2</v>
      </c>
      <c r="BW28" s="191">
        <f t="shared" si="37"/>
        <v>-3.2673427763488028E-2</v>
      </c>
      <c r="BX28" s="191">
        <f t="shared" si="38"/>
        <v>-1.5246401763322122E-2</v>
      </c>
      <c r="BY28" s="191">
        <f t="shared" si="39"/>
        <v>-2.0811521701987585E-3</v>
      </c>
      <c r="BZ28" s="191">
        <f t="shared" si="40"/>
        <v>0</v>
      </c>
      <c r="CA28" s="191">
        <f t="shared" si="57"/>
        <v>0.82636102810357026</v>
      </c>
      <c r="CJ28" s="178">
        <f t="shared" si="41"/>
        <v>4.5666666666666661E-2</v>
      </c>
      <c r="CK28" s="181">
        <f t="shared" si="42"/>
        <v>6.5071555555555563E-2</v>
      </c>
      <c r="CL28" s="182">
        <f t="shared" si="58"/>
        <v>4.5666666666666661E-2</v>
      </c>
      <c r="CM28" s="162">
        <f t="shared" si="59"/>
        <v>3.2535777777777782E-2</v>
      </c>
      <c r="CN28" s="181">
        <f t="shared" si="60"/>
        <v>7.8202444444444436E-2</v>
      </c>
      <c r="CO28" s="180">
        <f t="shared" si="43"/>
        <v>6.7847082219022137E-2</v>
      </c>
      <c r="CP28" s="180">
        <f t="shared" si="44"/>
        <v>4.8338487371139917E-2</v>
      </c>
      <c r="CQ28" s="180">
        <f t="shared" si="45"/>
        <v>0.11618556959016205</v>
      </c>
      <c r="CR28" s="183">
        <f t="shared" si="46"/>
        <v>1.1618812830007539E-2</v>
      </c>
      <c r="CS28" s="183">
        <f t="shared" si="47"/>
        <v>-7.8636514161066293E-3</v>
      </c>
      <c r="CT28" s="186">
        <f t="shared" si="61"/>
        <v>3.75516141390091E-3</v>
      </c>
      <c r="CU28" s="180">
        <f>SUM($CT$19:CT28)</f>
        <v>5.3667787476036177E-2</v>
      </c>
      <c r="CV28" s="181">
        <f t="shared" si="48"/>
        <v>6.5202791512893619</v>
      </c>
      <c r="CW28" s="181">
        <f t="shared" si="49"/>
        <v>0.21073788047132502</v>
      </c>
      <c r="CX28" s="188">
        <f t="shared" si="50"/>
        <v>46.492801161301053</v>
      </c>
      <c r="CY28" s="188">
        <f t="shared" si="62"/>
        <v>0.82636102810357026</v>
      </c>
    </row>
    <row r="29" spans="1:103" s="77" customFormat="1" ht="12.75" x14ac:dyDescent="0.2">
      <c r="B29" s="80" t="s">
        <v>122</v>
      </c>
      <c r="C29" s="167">
        <f>Analysis!F253</f>
        <v>30.551269035532997</v>
      </c>
      <c r="D29" s="91" t="s">
        <v>106</v>
      </c>
      <c r="E29" s="73"/>
      <c r="F29" s="73"/>
      <c r="L29" s="157"/>
      <c r="M29" s="156"/>
      <c r="N29" s="156"/>
      <c r="O29" s="156"/>
      <c r="P29" s="156"/>
      <c r="Q29" s="156"/>
      <c r="R29" s="156"/>
      <c r="S29" s="156"/>
      <c r="T29" s="156"/>
      <c r="U29" s="157"/>
      <c r="V29" s="88"/>
      <c r="W29" s="88">
        <v>10</v>
      </c>
      <c r="X29" s="181">
        <f t="shared" si="3"/>
        <v>2.7333333333333334</v>
      </c>
      <c r="Y29" s="168">
        <f t="shared" si="51"/>
        <v>-2.7333333333333334</v>
      </c>
      <c r="Z29" s="178">
        <f t="shared" si="63"/>
        <v>1.2</v>
      </c>
      <c r="AA29" s="84">
        <f t="shared" si="52"/>
        <v>1.3333333333333333</v>
      </c>
      <c r="AB29" s="84">
        <f t="shared" si="53"/>
        <v>1.2666666666666666</v>
      </c>
      <c r="AC29" s="178">
        <f t="shared" si="4"/>
        <v>0.86942333333333333</v>
      </c>
      <c r="AD29" s="178">
        <f t="shared" si="5"/>
        <v>0.34749999999999998</v>
      </c>
      <c r="AE29" s="181">
        <f t="shared" si="6"/>
        <v>2.6083333333333334</v>
      </c>
      <c r="AF29" s="181">
        <f t="shared" si="7"/>
        <v>0.82595216666666671</v>
      </c>
      <c r="AG29" s="181">
        <f t="shared" si="7"/>
        <v>0.73900983333333325</v>
      </c>
      <c r="AH29" s="181">
        <f t="shared" si="7"/>
        <v>0.65206750000000002</v>
      </c>
      <c r="AI29" s="181">
        <f t="shared" si="7"/>
        <v>0.56512516666666679</v>
      </c>
      <c r="AJ29" s="181">
        <f t="shared" si="7"/>
        <v>0.47818283333333333</v>
      </c>
      <c r="AK29" s="181">
        <f t="shared" si="7"/>
        <v>0.39124049999999988</v>
      </c>
      <c r="AL29" s="181">
        <f t="shared" si="7"/>
        <v>0.30429816666666687</v>
      </c>
      <c r="AM29" s="181">
        <f t="shared" si="7"/>
        <v>0.21735583333333341</v>
      </c>
      <c r="AN29" s="181">
        <f t="shared" si="7"/>
        <v>0.13041349999999996</v>
      </c>
      <c r="AO29" s="181">
        <f t="shared" si="7"/>
        <v>4.3471166666666949E-2</v>
      </c>
      <c r="AP29" s="181">
        <f t="shared" si="7"/>
        <v>0</v>
      </c>
      <c r="AQ29" s="168">
        <f t="shared" si="54"/>
        <v>8.694233333333333E-2</v>
      </c>
      <c r="AR29" s="181">
        <f t="shared" si="55"/>
        <v>0.52192333333333329</v>
      </c>
      <c r="AS29" s="181">
        <f t="shared" si="8"/>
        <v>151.94361799307961</v>
      </c>
      <c r="AT29" s="181">
        <f t="shared" si="9"/>
        <v>121.6390736842105</v>
      </c>
      <c r="AU29" s="181">
        <f t="shared" si="10"/>
        <v>94.701700965215821</v>
      </c>
      <c r="AV29" s="181">
        <f t="shared" si="11"/>
        <v>71.131499836095458</v>
      </c>
      <c r="AW29" s="181">
        <f t="shared" si="12"/>
        <v>50.928470296849405</v>
      </c>
      <c r="AX29" s="181">
        <f t="shared" si="13"/>
        <v>34.092612347477669</v>
      </c>
      <c r="AY29" s="181">
        <f t="shared" si="14"/>
        <v>20.623925987980364</v>
      </c>
      <c r="AZ29" s="181">
        <f t="shared" si="15"/>
        <v>10.522411218357322</v>
      </c>
      <c r="BA29" s="181">
        <f t="shared" si="16"/>
        <v>3.7880680386086305</v>
      </c>
      <c r="BB29" s="181">
        <f t="shared" si="17"/>
        <v>0.42089644873429805</v>
      </c>
      <c r="BC29" s="181">
        <f t="shared" si="18"/>
        <v>0</v>
      </c>
      <c r="BD29" s="181">
        <f t="shared" si="19"/>
        <v>1.761377691123599</v>
      </c>
      <c r="BE29" s="181">
        <f t="shared" si="20"/>
        <v>1.4100779854147365</v>
      </c>
      <c r="BF29" s="181">
        <f t="shared" si="21"/>
        <v>1.0978115803401931</v>
      </c>
      <c r="BG29" s="181">
        <f t="shared" si="22"/>
        <v>0.82457847589996758</v>
      </c>
      <c r="BH29" s="181">
        <f t="shared" si="23"/>
        <v>0.59037867209405948</v>
      </c>
      <c r="BI29" s="181">
        <f t="shared" si="24"/>
        <v>0.39521216892246924</v>
      </c>
      <c r="BJ29" s="181">
        <f t="shared" si="25"/>
        <v>0.23907896638519796</v>
      </c>
      <c r="BK29" s="181">
        <f t="shared" si="26"/>
        <v>0.12197906448224378</v>
      </c>
      <c r="BL29" s="181">
        <f t="shared" si="27"/>
        <v>4.39124632136077E-2</v>
      </c>
      <c r="BM29" s="181">
        <f t="shared" si="28"/>
        <v>4.8791625792898117E-3</v>
      </c>
      <c r="BN29" s="181">
        <f t="shared" si="29"/>
        <v>0</v>
      </c>
      <c r="BO29" s="191">
        <f t="shared" si="56"/>
        <v>6.489286230455364</v>
      </c>
      <c r="BP29" s="191">
        <f t="shared" si="30"/>
        <v>0.53550960449166829</v>
      </c>
      <c r="BQ29" s="191">
        <f t="shared" si="31"/>
        <v>0.30610889458073615</v>
      </c>
      <c r="BR29" s="191">
        <f t="shared" si="32"/>
        <v>0.14287377328039089</v>
      </c>
      <c r="BS29" s="191">
        <f t="shared" si="33"/>
        <v>3.5623301886084549E-2</v>
      </c>
      <c r="BT29" s="191">
        <f t="shared" si="34"/>
        <v>-2.5823458306730183E-2</v>
      </c>
      <c r="BU29" s="191">
        <f t="shared" si="35"/>
        <v>-5.164744600260026E-2</v>
      </c>
      <c r="BV29" s="191">
        <f t="shared" si="36"/>
        <v>-5.2029599906073046E-2</v>
      </c>
      <c r="BW29" s="191">
        <f t="shared" si="37"/>
        <v>-3.7150858721695768E-2</v>
      </c>
      <c r="BX29" s="191">
        <f t="shared" si="38"/>
        <v>-1.7192161154015683E-2</v>
      </c>
      <c r="BY29" s="191">
        <f t="shared" si="39"/>
        <v>-2.3344459075801305E-3</v>
      </c>
      <c r="BZ29" s="191">
        <f t="shared" si="40"/>
        <v>0</v>
      </c>
      <c r="CA29" s="191">
        <f t="shared" si="57"/>
        <v>0.83393760424018482</v>
      </c>
      <c r="CJ29" s="178">
        <f t="shared" si="41"/>
        <v>4.6333333333333331E-2</v>
      </c>
      <c r="CK29" s="181">
        <f t="shared" si="42"/>
        <v>6.9589777777777778E-2</v>
      </c>
      <c r="CL29" s="182">
        <f t="shared" si="58"/>
        <v>4.6333333333333331E-2</v>
      </c>
      <c r="CM29" s="162">
        <f t="shared" si="59"/>
        <v>3.4794888888888889E-2</v>
      </c>
      <c r="CN29" s="181">
        <f t="shared" si="60"/>
        <v>8.1128222222222213E-2</v>
      </c>
      <c r="CO29" s="180">
        <f t="shared" si="43"/>
        <v>6.8837550572584519E-2</v>
      </c>
      <c r="CP29" s="180">
        <f t="shared" si="44"/>
        <v>5.1694854465244917E-2</v>
      </c>
      <c r="CQ29" s="180">
        <f t="shared" si="45"/>
        <v>0.12053240503782942</v>
      </c>
      <c r="CR29" s="183">
        <f t="shared" si="46"/>
        <v>1.196052441198656E-2</v>
      </c>
      <c r="CS29" s="183">
        <f t="shared" si="47"/>
        <v>-8.9935835862273925E-3</v>
      </c>
      <c r="CT29" s="186">
        <f t="shared" si="61"/>
        <v>2.9669408257591671E-3</v>
      </c>
      <c r="CU29" s="180">
        <f>SUM($CT$19:CT29)</f>
        <v>5.6634728301795348E-2</v>
      </c>
      <c r="CV29" s="181">
        <f t="shared" si="48"/>
        <v>6.7642214983767666</v>
      </c>
      <c r="CW29" s="181">
        <f t="shared" si="49"/>
        <v>0.16650331428890972</v>
      </c>
      <c r="CX29" s="188">
        <f t="shared" si="50"/>
        <v>48.669646728415231</v>
      </c>
      <c r="CY29" s="188">
        <f t="shared" si="62"/>
        <v>0.83393760424018482</v>
      </c>
    </row>
    <row r="30" spans="1:103" s="77" customFormat="1" ht="12.75" x14ac:dyDescent="0.2">
      <c r="B30" s="169" t="s">
        <v>131</v>
      </c>
      <c r="C30" s="104"/>
      <c r="D30" s="101"/>
      <c r="E30" s="73"/>
      <c r="F30" s="73"/>
      <c r="L30" s="157"/>
      <c r="M30" s="156"/>
      <c r="N30" s="156"/>
      <c r="O30" s="156"/>
      <c r="P30" s="156"/>
      <c r="Q30" s="156"/>
      <c r="R30" s="156"/>
      <c r="S30" s="156"/>
      <c r="T30" s="156"/>
      <c r="U30" s="157"/>
      <c r="V30" s="88"/>
      <c r="W30" s="88">
        <v>11</v>
      </c>
      <c r="X30" s="181">
        <f t="shared" si="3"/>
        <v>2.6</v>
      </c>
      <c r="Y30" s="168">
        <f t="shared" si="51"/>
        <v>-2.6</v>
      </c>
      <c r="Z30" s="178">
        <f t="shared" si="63"/>
        <v>1.3333333333333333</v>
      </c>
      <c r="AA30" s="84">
        <f t="shared" si="52"/>
        <v>1.4666666666666666</v>
      </c>
      <c r="AB30" s="84">
        <f t="shared" si="53"/>
        <v>1.4</v>
      </c>
      <c r="AC30" s="178">
        <f t="shared" si="4"/>
        <v>0.90830999999999995</v>
      </c>
      <c r="AD30" s="178">
        <f t="shared" si="5"/>
        <v>0.35249999999999998</v>
      </c>
      <c r="AE30" s="181">
        <f t="shared" si="6"/>
        <v>2.7249999999999996</v>
      </c>
      <c r="AF30" s="181">
        <f t="shared" ref="AF30:AP39" si="64">($AE30-($AE30-AF$18*$AC30))</f>
        <v>0.8628944999999999</v>
      </c>
      <c r="AG30" s="181">
        <f t="shared" si="64"/>
        <v>0.77206349999999979</v>
      </c>
      <c r="AH30" s="181">
        <f t="shared" si="64"/>
        <v>0.68123250000000013</v>
      </c>
      <c r="AI30" s="181">
        <f t="shared" si="64"/>
        <v>0.59040150000000002</v>
      </c>
      <c r="AJ30" s="181">
        <f t="shared" si="64"/>
        <v>0.49957049999999992</v>
      </c>
      <c r="AK30" s="181">
        <f t="shared" si="64"/>
        <v>0.40873950000000026</v>
      </c>
      <c r="AL30" s="181">
        <f t="shared" si="64"/>
        <v>0.31790850000000015</v>
      </c>
      <c r="AM30" s="181">
        <f t="shared" si="64"/>
        <v>0.22707750000000004</v>
      </c>
      <c r="AN30" s="181">
        <f t="shared" si="64"/>
        <v>0.13624649999999994</v>
      </c>
      <c r="AO30" s="181">
        <f t="shared" si="64"/>
        <v>4.5415500000000275E-2</v>
      </c>
      <c r="AP30" s="181">
        <f t="shared" si="64"/>
        <v>0</v>
      </c>
      <c r="AQ30" s="168">
        <f t="shared" si="54"/>
        <v>9.0830999999999995E-2</v>
      </c>
      <c r="AR30" s="181">
        <f t="shared" si="55"/>
        <v>0.55580999999999992</v>
      </c>
      <c r="AS30" s="181">
        <f t="shared" si="8"/>
        <v>151.94361799307958</v>
      </c>
      <c r="AT30" s="181">
        <f t="shared" si="9"/>
        <v>121.6390736842105</v>
      </c>
      <c r="AU30" s="181">
        <f t="shared" si="10"/>
        <v>94.701700965215863</v>
      </c>
      <c r="AV30" s="181">
        <f t="shared" si="11"/>
        <v>71.131499836095443</v>
      </c>
      <c r="AW30" s="181">
        <f t="shared" si="12"/>
        <v>50.928470296849383</v>
      </c>
      <c r="AX30" s="181">
        <f t="shared" si="13"/>
        <v>34.09261234747774</v>
      </c>
      <c r="AY30" s="181">
        <f t="shared" si="14"/>
        <v>20.623925987980357</v>
      </c>
      <c r="AZ30" s="181">
        <f t="shared" si="15"/>
        <v>10.522411218357318</v>
      </c>
      <c r="BA30" s="181">
        <f t="shared" si="16"/>
        <v>3.7880680386086296</v>
      </c>
      <c r="BB30" s="181">
        <f t="shared" si="17"/>
        <v>0.42089644873429771</v>
      </c>
      <c r="BC30" s="181">
        <f t="shared" si="18"/>
        <v>0</v>
      </c>
      <c r="BD30" s="181">
        <f t="shared" si="19"/>
        <v>1.8401587687905883</v>
      </c>
      <c r="BE30" s="181">
        <f t="shared" si="20"/>
        <v>1.4731464935747365</v>
      </c>
      <c r="BF30" s="181">
        <f t="shared" si="21"/>
        <v>1.1469133600495363</v>
      </c>
      <c r="BG30" s="181">
        <f t="shared" si="22"/>
        <v>0.8614593682149847</v>
      </c>
      <c r="BH30" s="181">
        <f t="shared" si="23"/>
        <v>0.61678451807108348</v>
      </c>
      <c r="BI30" s="181">
        <f t="shared" si="24"/>
        <v>0.41288880961783342</v>
      </c>
      <c r="BJ30" s="181">
        <f t="shared" si="25"/>
        <v>0.2497722428552325</v>
      </c>
      <c r="BK30" s="181">
        <f t="shared" si="26"/>
        <v>0.12743481778328181</v>
      </c>
      <c r="BL30" s="181">
        <f t="shared" si="27"/>
        <v>4.5876534401981389E-2</v>
      </c>
      <c r="BM30" s="181">
        <f t="shared" si="28"/>
        <v>5.0973927113313324E-3</v>
      </c>
      <c r="BN30" s="181">
        <f t="shared" si="29"/>
        <v>0</v>
      </c>
      <c r="BO30" s="191">
        <f t="shared" si="56"/>
        <v>6.7795323060705908</v>
      </c>
      <c r="BP30" s="191">
        <f t="shared" si="30"/>
        <v>0.56508423543467334</v>
      </c>
      <c r="BQ30" s="191">
        <f t="shared" si="31"/>
        <v>0.31857308524826411</v>
      </c>
      <c r="BR30" s="191">
        <f t="shared" si="32"/>
        <v>0.1438487409008132</v>
      </c>
      <c r="BS30" s="191">
        <f t="shared" si="33"/>
        <v>2.9799171735608736E-2</v>
      </c>
      <c r="BT30" s="191">
        <f t="shared" si="34"/>
        <v>-3.4687652904058695E-2</v>
      </c>
      <c r="BU30" s="191">
        <f t="shared" si="35"/>
        <v>-6.0723763674899428E-2</v>
      </c>
      <c r="BV30" s="191">
        <f t="shared" si="36"/>
        <v>-5.9421191233624035E-2</v>
      </c>
      <c r="BW30" s="191">
        <f t="shared" si="37"/>
        <v>-4.189196623694267E-2</v>
      </c>
      <c r="BX30" s="191">
        <f t="shared" si="38"/>
        <v>-1.9248119341565718E-2</v>
      </c>
      <c r="BY30" s="191">
        <f t="shared" si="39"/>
        <v>-2.6016812042035978E-3</v>
      </c>
      <c r="BZ30" s="191">
        <f t="shared" si="40"/>
        <v>0</v>
      </c>
      <c r="CA30" s="191">
        <f t="shared" si="57"/>
        <v>0.83873085872406528</v>
      </c>
      <c r="CJ30" s="178">
        <f t="shared" si="41"/>
        <v>4.7E-2</v>
      </c>
      <c r="CK30" s="181">
        <f t="shared" si="42"/>
        <v>7.4107999999999993E-2</v>
      </c>
      <c r="CL30" s="182">
        <f t="shared" si="58"/>
        <v>4.7E-2</v>
      </c>
      <c r="CM30" s="162">
        <f t="shared" si="59"/>
        <v>3.7053999999999997E-2</v>
      </c>
      <c r="CN30" s="181">
        <f t="shared" si="60"/>
        <v>8.405399999999999E-2</v>
      </c>
      <c r="CO30" s="180">
        <f t="shared" si="43"/>
        <v>6.9828018926146887E-2</v>
      </c>
      <c r="CP30" s="180">
        <f t="shared" si="44"/>
        <v>5.5051221559349925E-2</v>
      </c>
      <c r="CQ30" s="180">
        <f t="shared" si="45"/>
        <v>0.1248792404854968</v>
      </c>
      <c r="CR30" s="183">
        <f t="shared" si="46"/>
        <v>1.2307188335733387E-2</v>
      </c>
      <c r="CS30" s="183">
        <f t="shared" si="47"/>
        <v>-1.0199339818300759E-2</v>
      </c>
      <c r="CT30" s="186">
        <f t="shared" si="61"/>
        <v>2.1078485174326287E-3</v>
      </c>
      <c r="CU30" s="180">
        <f>SUM($CT$19:CT30)</f>
        <v>5.8742576819227975E-2</v>
      </c>
      <c r="CV30" s="181">
        <f t="shared" si="48"/>
        <v>7.0081638454641721</v>
      </c>
      <c r="CW30" s="181">
        <f t="shared" si="49"/>
        <v>0.11829146072763158</v>
      </c>
      <c r="CX30" s="188">
        <f t="shared" si="50"/>
        <v>50.84649229552943</v>
      </c>
      <c r="CY30" s="188">
        <f t="shared" si="62"/>
        <v>0.83873085872406528</v>
      </c>
    </row>
    <row r="31" spans="1:103" s="77" customFormat="1" ht="12.75" x14ac:dyDescent="0.2">
      <c r="B31" s="80" t="s">
        <v>82</v>
      </c>
      <c r="C31" s="77" t="str">
        <f>[1]!xln(C32)</f>
        <v>30.6 × 1.84</v>
      </c>
      <c r="L31" s="157"/>
      <c r="M31" s="156"/>
      <c r="N31" s="156"/>
      <c r="O31" s="156"/>
      <c r="P31" s="156"/>
      <c r="Q31" s="156"/>
      <c r="R31" s="156"/>
      <c r="S31" s="156"/>
      <c r="T31" s="156"/>
      <c r="U31" s="157"/>
      <c r="V31" s="88"/>
      <c r="W31" s="88">
        <v>12</v>
      </c>
      <c r="X31" s="181">
        <f t="shared" si="3"/>
        <v>2.4666666666666668</v>
      </c>
      <c r="Y31" s="168">
        <f t="shared" si="51"/>
        <v>-2.4666666666666668</v>
      </c>
      <c r="Z31" s="178">
        <f t="shared" si="63"/>
        <v>1.4666666666666666</v>
      </c>
      <c r="AA31" s="84">
        <f t="shared" si="52"/>
        <v>1.5999999999999999</v>
      </c>
      <c r="AB31" s="84">
        <f t="shared" si="53"/>
        <v>1.5333333333333332</v>
      </c>
      <c r="AC31" s="178">
        <f t="shared" si="4"/>
        <v>0.94719666666666669</v>
      </c>
      <c r="AD31" s="178">
        <f t="shared" si="5"/>
        <v>0.35749999999999998</v>
      </c>
      <c r="AE31" s="181">
        <f t="shared" si="6"/>
        <v>2.8416666666666668</v>
      </c>
      <c r="AF31" s="181">
        <f t="shared" si="64"/>
        <v>0.89983683333333331</v>
      </c>
      <c r="AG31" s="181">
        <f t="shared" si="64"/>
        <v>0.80511716666666677</v>
      </c>
      <c r="AH31" s="181">
        <f t="shared" si="64"/>
        <v>0.71039750000000002</v>
      </c>
      <c r="AI31" s="181">
        <f t="shared" si="64"/>
        <v>0.61567783333333326</v>
      </c>
      <c r="AJ31" s="181">
        <f t="shared" si="64"/>
        <v>0.5209581666666665</v>
      </c>
      <c r="AK31" s="181">
        <f t="shared" si="64"/>
        <v>0.42623850000000019</v>
      </c>
      <c r="AL31" s="181">
        <f t="shared" si="64"/>
        <v>0.33151883333333343</v>
      </c>
      <c r="AM31" s="181">
        <f t="shared" si="64"/>
        <v>0.23679916666666667</v>
      </c>
      <c r="AN31" s="181">
        <f t="shared" si="64"/>
        <v>0.14207949999999991</v>
      </c>
      <c r="AO31" s="181">
        <f t="shared" si="64"/>
        <v>4.7359833333333601E-2</v>
      </c>
      <c r="AP31" s="181">
        <f t="shared" si="64"/>
        <v>0</v>
      </c>
      <c r="AQ31" s="168">
        <f t="shared" si="54"/>
        <v>9.4719666666666674E-2</v>
      </c>
      <c r="AR31" s="181">
        <f t="shared" si="55"/>
        <v>0.58969666666666676</v>
      </c>
      <c r="AS31" s="181">
        <f t="shared" si="8"/>
        <v>151.94361799307958</v>
      </c>
      <c r="AT31" s="181">
        <f t="shared" si="9"/>
        <v>121.63907368421056</v>
      </c>
      <c r="AU31" s="181">
        <f t="shared" si="10"/>
        <v>94.701700965215821</v>
      </c>
      <c r="AV31" s="181">
        <f t="shared" si="11"/>
        <v>71.131499836095415</v>
      </c>
      <c r="AW31" s="181">
        <f t="shared" si="12"/>
        <v>50.928470296849362</v>
      </c>
      <c r="AX31" s="181">
        <f t="shared" si="13"/>
        <v>34.092612347477719</v>
      </c>
      <c r="AY31" s="181">
        <f t="shared" si="14"/>
        <v>20.623925987980343</v>
      </c>
      <c r="AZ31" s="181">
        <f t="shared" si="15"/>
        <v>10.522411218357313</v>
      </c>
      <c r="BA31" s="181">
        <f t="shared" si="16"/>
        <v>3.7880680386086283</v>
      </c>
      <c r="BB31" s="181">
        <f t="shared" si="17"/>
        <v>0.42089644873429727</v>
      </c>
      <c r="BC31" s="181">
        <f t="shared" si="18"/>
        <v>0</v>
      </c>
      <c r="BD31" s="181">
        <f t="shared" si="19"/>
        <v>1.918939846457578</v>
      </c>
      <c r="BE31" s="181">
        <f t="shared" si="20"/>
        <v>1.5362150017347374</v>
      </c>
      <c r="BF31" s="181">
        <f t="shared" si="21"/>
        <v>1.1960151397588785</v>
      </c>
      <c r="BG31" s="181">
        <f t="shared" si="22"/>
        <v>0.89834026053000171</v>
      </c>
      <c r="BH31" s="181">
        <f t="shared" si="23"/>
        <v>0.64319036404810748</v>
      </c>
      <c r="BI31" s="181">
        <f t="shared" si="24"/>
        <v>0.43056545031319654</v>
      </c>
      <c r="BJ31" s="181">
        <f t="shared" si="25"/>
        <v>0.26046551932526696</v>
      </c>
      <c r="BK31" s="181">
        <f t="shared" si="26"/>
        <v>0.13289057108431981</v>
      </c>
      <c r="BL31" s="181">
        <f t="shared" si="27"/>
        <v>4.7840605590355079E-2</v>
      </c>
      <c r="BM31" s="181">
        <f t="shared" si="28"/>
        <v>5.3156228433728532E-3</v>
      </c>
      <c r="BN31" s="181">
        <f t="shared" si="29"/>
        <v>0</v>
      </c>
      <c r="BO31" s="191">
        <f t="shared" si="56"/>
        <v>7.0697783816858148</v>
      </c>
      <c r="BP31" s="191">
        <f t="shared" si="30"/>
        <v>0.59514032380366078</v>
      </c>
      <c r="BQ31" s="191">
        <f t="shared" si="31"/>
        <v>0.33093220378119803</v>
      </c>
      <c r="BR31" s="191">
        <f t="shared" si="32"/>
        <v>0.14436002404817969</v>
      </c>
      <c r="BS31" s="191">
        <f t="shared" si="33"/>
        <v>2.3339928032206581E-2</v>
      </c>
      <c r="BT31" s="191">
        <f t="shared" si="34"/>
        <v>-4.4211940839121E-2</v>
      </c>
      <c r="BU31" s="191">
        <f t="shared" si="35"/>
        <v>-7.0379439138202826E-2</v>
      </c>
      <c r="BV31" s="191">
        <f t="shared" si="36"/>
        <v>-6.724642343743889E-2</v>
      </c>
      <c r="BW31" s="191">
        <f t="shared" si="37"/>
        <v>-4.6896750309228762E-2</v>
      </c>
      <c r="BX31" s="191">
        <f t="shared" si="38"/>
        <v>-2.1414276325972242E-2</v>
      </c>
      <c r="BY31" s="191">
        <f t="shared" si="39"/>
        <v>-2.8828580600691617E-3</v>
      </c>
      <c r="BZ31" s="191">
        <f t="shared" si="40"/>
        <v>0</v>
      </c>
      <c r="CA31" s="191">
        <f t="shared" si="57"/>
        <v>0.84074079155521197</v>
      </c>
      <c r="CJ31" s="178">
        <f t="shared" si="41"/>
        <v>4.7666666666666663E-2</v>
      </c>
      <c r="CK31" s="181">
        <f t="shared" si="42"/>
        <v>7.8626222222222236E-2</v>
      </c>
      <c r="CL31" s="182">
        <f t="shared" si="58"/>
        <v>4.7666666666666663E-2</v>
      </c>
      <c r="CM31" s="162">
        <f t="shared" si="59"/>
        <v>3.9313111111111118E-2</v>
      </c>
      <c r="CN31" s="181">
        <f t="shared" si="60"/>
        <v>8.6979777777777781E-2</v>
      </c>
      <c r="CO31" s="180">
        <f t="shared" si="43"/>
        <v>7.0818487279709241E-2</v>
      </c>
      <c r="CP31" s="180">
        <f t="shared" si="44"/>
        <v>5.8407588653454946E-2</v>
      </c>
      <c r="CQ31" s="180">
        <f t="shared" si="45"/>
        <v>0.12922607593316418</v>
      </c>
      <c r="CR31" s="183">
        <f t="shared" si="46"/>
        <v>1.2658804601248026E-2</v>
      </c>
      <c r="CS31" s="183">
        <f t="shared" si="47"/>
        <v>-1.1480920112326735E-2</v>
      </c>
      <c r="CT31" s="186">
        <f t="shared" si="61"/>
        <v>1.1778844889212912E-3</v>
      </c>
      <c r="CU31" s="180">
        <f>SUM($CT$19:CT31)</f>
        <v>5.9920461308149264E-2</v>
      </c>
      <c r="CV31" s="181">
        <f t="shared" si="48"/>
        <v>7.2521061925515768</v>
      </c>
      <c r="CW31" s="181">
        <f t="shared" si="49"/>
        <v>6.6102319787490468E-2</v>
      </c>
      <c r="CX31" s="188">
        <f t="shared" si="50"/>
        <v>53.023337862643615</v>
      </c>
      <c r="CY31" s="188">
        <f t="shared" si="62"/>
        <v>0.84074079155521197</v>
      </c>
    </row>
    <row r="32" spans="1:103" s="77" customFormat="1" ht="12.75" x14ac:dyDescent="0.2">
      <c r="A32" s="79"/>
      <c r="B32" s="80" t="s">
        <v>82</v>
      </c>
      <c r="C32" s="170">
        <f>C29*C25</f>
        <v>56.119526497905667</v>
      </c>
      <c r="D32" s="91" t="s">
        <v>106</v>
      </c>
      <c r="E32" s="73"/>
      <c r="F32" s="73"/>
      <c r="G32" s="73"/>
      <c r="H32" s="81"/>
      <c r="K32" s="73"/>
      <c r="L32" s="157"/>
      <c r="M32" s="156"/>
      <c r="N32" s="156"/>
      <c r="O32" s="156"/>
      <c r="P32" s="156"/>
      <c r="Q32" s="156"/>
      <c r="R32" s="156"/>
      <c r="S32" s="156"/>
      <c r="T32" s="156"/>
      <c r="U32" s="157"/>
      <c r="V32" s="88"/>
      <c r="W32" s="88">
        <v>13</v>
      </c>
      <c r="X32" s="181">
        <f t="shared" si="3"/>
        <v>2.3333333333333335</v>
      </c>
      <c r="Y32" s="168">
        <f t="shared" si="51"/>
        <v>-2.3333333333333335</v>
      </c>
      <c r="Z32" s="178">
        <f t="shared" si="63"/>
        <v>1.5999999999999999</v>
      </c>
      <c r="AA32" s="84">
        <f t="shared" si="52"/>
        <v>1.7333333333333332</v>
      </c>
      <c r="AB32" s="84">
        <f t="shared" si="53"/>
        <v>1.6666666666666665</v>
      </c>
      <c r="AC32" s="178">
        <f t="shared" si="4"/>
        <v>0.98608333333333331</v>
      </c>
      <c r="AD32" s="178">
        <f t="shared" si="5"/>
        <v>0.36249999999999999</v>
      </c>
      <c r="AE32" s="181">
        <f t="shared" si="6"/>
        <v>2.958333333333333</v>
      </c>
      <c r="AF32" s="181">
        <f t="shared" si="64"/>
        <v>0.93677916666666672</v>
      </c>
      <c r="AG32" s="181">
        <f t="shared" si="64"/>
        <v>0.83817083333333331</v>
      </c>
      <c r="AH32" s="181">
        <f t="shared" si="64"/>
        <v>0.7395624999999999</v>
      </c>
      <c r="AI32" s="181">
        <f t="shared" si="64"/>
        <v>0.64095416666666694</v>
      </c>
      <c r="AJ32" s="181">
        <f t="shared" si="64"/>
        <v>0.54234583333333353</v>
      </c>
      <c r="AK32" s="181">
        <f t="shared" si="64"/>
        <v>0.44373750000000012</v>
      </c>
      <c r="AL32" s="181">
        <f t="shared" si="64"/>
        <v>0.34512916666666671</v>
      </c>
      <c r="AM32" s="181">
        <f t="shared" si="64"/>
        <v>0.2465208333333333</v>
      </c>
      <c r="AN32" s="181">
        <f t="shared" si="64"/>
        <v>0.14791250000000034</v>
      </c>
      <c r="AO32" s="181">
        <f t="shared" si="64"/>
        <v>4.9304166666666926E-2</v>
      </c>
      <c r="AP32" s="181">
        <f t="shared" si="64"/>
        <v>0</v>
      </c>
      <c r="AQ32" s="168">
        <f t="shared" si="54"/>
        <v>9.8608333333333326E-2</v>
      </c>
      <c r="AR32" s="181">
        <f t="shared" si="55"/>
        <v>0.62358333333333338</v>
      </c>
      <c r="AS32" s="181">
        <f t="shared" si="8"/>
        <v>151.94361799307961</v>
      </c>
      <c r="AT32" s="181">
        <f t="shared" si="9"/>
        <v>121.63907368421052</v>
      </c>
      <c r="AU32" s="181">
        <f t="shared" si="10"/>
        <v>94.701700965215778</v>
      </c>
      <c r="AV32" s="181">
        <f t="shared" si="11"/>
        <v>71.131499836095486</v>
      </c>
      <c r="AW32" s="181">
        <f t="shared" si="12"/>
        <v>50.928470296849419</v>
      </c>
      <c r="AX32" s="181">
        <f t="shared" si="13"/>
        <v>34.092612347477711</v>
      </c>
      <c r="AY32" s="181">
        <f t="shared" si="14"/>
        <v>20.623925987980336</v>
      </c>
      <c r="AZ32" s="181">
        <f t="shared" si="15"/>
        <v>10.522411218357311</v>
      </c>
      <c r="BA32" s="181">
        <f t="shared" si="16"/>
        <v>3.7880680386086505</v>
      </c>
      <c r="BB32" s="181">
        <f t="shared" si="17"/>
        <v>0.42089644873429699</v>
      </c>
      <c r="BC32" s="181">
        <f t="shared" si="18"/>
        <v>0</v>
      </c>
      <c r="BD32" s="181">
        <f t="shared" si="19"/>
        <v>1.9977209241245677</v>
      </c>
      <c r="BE32" s="181">
        <f t="shared" si="20"/>
        <v>1.5992835098947367</v>
      </c>
      <c r="BF32" s="181">
        <f t="shared" si="21"/>
        <v>1.2451169194682203</v>
      </c>
      <c r="BG32" s="181">
        <f t="shared" si="22"/>
        <v>0.93522115284501983</v>
      </c>
      <c r="BH32" s="181">
        <f t="shared" si="23"/>
        <v>0.66959621002513237</v>
      </c>
      <c r="BI32" s="181">
        <f t="shared" si="24"/>
        <v>0.44824209100855972</v>
      </c>
      <c r="BJ32" s="181">
        <f t="shared" si="25"/>
        <v>0.27115879579530144</v>
      </c>
      <c r="BK32" s="181">
        <f t="shared" si="26"/>
        <v>0.13834632438535785</v>
      </c>
      <c r="BL32" s="181">
        <f t="shared" si="27"/>
        <v>4.9804676778729066E-2</v>
      </c>
      <c r="BM32" s="181">
        <f t="shared" si="28"/>
        <v>5.5338529754143731E-3</v>
      </c>
      <c r="BN32" s="181">
        <f t="shared" si="29"/>
        <v>0</v>
      </c>
      <c r="BO32" s="191">
        <f t="shared" si="56"/>
        <v>7.3600244573010389</v>
      </c>
      <c r="BP32" s="191">
        <f t="shared" si="30"/>
        <v>0.62567786959863081</v>
      </c>
      <c r="BQ32" s="191">
        <f t="shared" si="31"/>
        <v>0.34318625017953669</v>
      </c>
      <c r="BR32" s="191">
        <f t="shared" si="32"/>
        <v>0.14440762272249114</v>
      </c>
      <c r="BS32" s="191">
        <f t="shared" si="33"/>
        <v>1.6245570775878907E-2</v>
      </c>
      <c r="BT32" s="191">
        <f t="shared" si="34"/>
        <v>-5.4396322111916591E-2</v>
      </c>
      <c r="BU32" s="191">
        <f t="shared" si="35"/>
        <v>-8.0614472392510225E-2</v>
      </c>
      <c r="BV32" s="191">
        <f t="shared" si="36"/>
        <v>-7.5505296517517501E-2</v>
      </c>
      <c r="BW32" s="191">
        <f t="shared" si="37"/>
        <v>-5.2165210938554002E-2</v>
      </c>
      <c r="BX32" s="191">
        <f t="shared" si="38"/>
        <v>-2.3690632107235356E-2</v>
      </c>
      <c r="BY32" s="191">
        <f t="shared" si="39"/>
        <v>-3.1779764751768188E-3</v>
      </c>
      <c r="BZ32" s="191">
        <f t="shared" si="40"/>
        <v>0</v>
      </c>
      <c r="CA32" s="191">
        <f t="shared" si="57"/>
        <v>0.83996740273362713</v>
      </c>
      <c r="CJ32" s="178">
        <f t="shared" si="41"/>
        <v>4.8333333333333332E-2</v>
      </c>
      <c r="CK32" s="181">
        <f t="shared" si="42"/>
        <v>8.3144444444444451E-2</v>
      </c>
      <c r="CL32" s="182">
        <f t="shared" si="58"/>
        <v>4.8333333333333332E-2</v>
      </c>
      <c r="CM32" s="162">
        <f t="shared" si="59"/>
        <v>4.1572222222222226E-2</v>
      </c>
      <c r="CN32" s="181">
        <f t="shared" si="60"/>
        <v>8.9905555555555558E-2</v>
      </c>
      <c r="CO32" s="180">
        <f t="shared" si="43"/>
        <v>7.1808955633271609E-2</v>
      </c>
      <c r="CP32" s="180">
        <f t="shared" si="44"/>
        <v>6.1763955747559947E-2</v>
      </c>
      <c r="CQ32" s="180">
        <f t="shared" si="45"/>
        <v>0.13357291138083158</v>
      </c>
      <c r="CR32" s="183">
        <f t="shared" si="46"/>
        <v>1.301537320853048E-2</v>
      </c>
      <c r="CS32" s="183">
        <f t="shared" si="47"/>
        <v>-1.2838324468305309E-2</v>
      </c>
      <c r="CT32" s="186">
        <f t="shared" si="61"/>
        <v>1.7704874022517018E-4</v>
      </c>
      <c r="CU32" s="180">
        <f>SUM($CT$19:CT32)</f>
        <v>6.0097510048374436E-2</v>
      </c>
      <c r="CV32" s="181">
        <f t="shared" si="48"/>
        <v>7.4960485396389833</v>
      </c>
      <c r="CW32" s="181">
        <f t="shared" si="49"/>
        <v>9.9358914684872547E-3</v>
      </c>
      <c r="CX32" s="188">
        <f t="shared" si="50"/>
        <v>55.200183429757793</v>
      </c>
      <c r="CY32" s="188">
        <f t="shared" si="62"/>
        <v>0.83996740273362713</v>
      </c>
    </row>
    <row r="33" spans="1:103" s="77" customFormat="1" ht="12.75" x14ac:dyDescent="0.2">
      <c r="A33" s="79"/>
      <c r="B33" s="75" t="s">
        <v>247</v>
      </c>
      <c r="C33" s="78"/>
      <c r="D33" s="73"/>
      <c r="E33" s="73"/>
      <c r="F33" s="82"/>
      <c r="G33" s="73"/>
      <c r="H33" s="82"/>
      <c r="K33" s="73"/>
      <c r="L33" s="157"/>
      <c r="M33" s="156"/>
      <c r="N33" s="156"/>
      <c r="O33" s="156"/>
      <c r="P33" s="156"/>
      <c r="Q33" s="156"/>
      <c r="R33" s="156"/>
      <c r="S33" s="156"/>
      <c r="T33" s="156"/>
      <c r="U33" s="157"/>
      <c r="V33" s="88"/>
      <c r="W33" s="88">
        <v>14</v>
      </c>
      <c r="X33" s="181">
        <f t="shared" si="3"/>
        <v>2.2000000000000002</v>
      </c>
      <c r="Y33" s="168">
        <f t="shared" si="51"/>
        <v>-2.2000000000000002</v>
      </c>
      <c r="Z33" s="178">
        <f t="shared" si="63"/>
        <v>1.7333333333333332</v>
      </c>
      <c r="AA33" s="84">
        <f t="shared" si="52"/>
        <v>1.8666666666666665</v>
      </c>
      <c r="AB33" s="84">
        <f t="shared" si="53"/>
        <v>1.7999999999999998</v>
      </c>
      <c r="AC33" s="178">
        <f t="shared" si="4"/>
        <v>1.0249699999999999</v>
      </c>
      <c r="AD33" s="178">
        <f t="shared" si="5"/>
        <v>0.36749999999999999</v>
      </c>
      <c r="AE33" s="181">
        <f t="shared" si="6"/>
        <v>3.0749999999999997</v>
      </c>
      <c r="AF33" s="181">
        <f t="shared" si="64"/>
        <v>0.97372149999999991</v>
      </c>
      <c r="AG33" s="181">
        <f t="shared" si="64"/>
        <v>0.87122449999999985</v>
      </c>
      <c r="AH33" s="181">
        <f t="shared" si="64"/>
        <v>0.76872750000000023</v>
      </c>
      <c r="AI33" s="181">
        <f t="shared" si="64"/>
        <v>0.66623049999999973</v>
      </c>
      <c r="AJ33" s="181">
        <f t="shared" si="64"/>
        <v>0.56373350000000011</v>
      </c>
      <c r="AK33" s="181">
        <f t="shared" si="64"/>
        <v>0.46123650000000005</v>
      </c>
      <c r="AL33" s="181">
        <f t="shared" si="64"/>
        <v>0.35873949999999999</v>
      </c>
      <c r="AM33" s="181">
        <f t="shared" si="64"/>
        <v>0.25624249999999993</v>
      </c>
      <c r="AN33" s="181">
        <f t="shared" si="64"/>
        <v>0.15374549999999987</v>
      </c>
      <c r="AO33" s="181">
        <f t="shared" si="64"/>
        <v>5.1248500000000252E-2</v>
      </c>
      <c r="AP33" s="181">
        <f t="shared" si="64"/>
        <v>0</v>
      </c>
      <c r="AQ33" s="168">
        <f t="shared" si="54"/>
        <v>0.10249699999999999</v>
      </c>
      <c r="AR33" s="181">
        <f t="shared" si="55"/>
        <v>0.65747</v>
      </c>
      <c r="AS33" s="181">
        <f t="shared" si="8"/>
        <v>151.94361799307958</v>
      </c>
      <c r="AT33" s="181">
        <f t="shared" si="9"/>
        <v>121.6390736842105</v>
      </c>
      <c r="AU33" s="181">
        <f t="shared" si="10"/>
        <v>94.701700965215863</v>
      </c>
      <c r="AV33" s="181">
        <f t="shared" si="11"/>
        <v>71.131499836095401</v>
      </c>
      <c r="AW33" s="181">
        <f t="shared" si="12"/>
        <v>50.928470296849419</v>
      </c>
      <c r="AX33" s="181">
        <f t="shared" si="13"/>
        <v>34.092612347477704</v>
      </c>
      <c r="AY33" s="181">
        <f t="shared" si="14"/>
        <v>20.623925987980336</v>
      </c>
      <c r="AZ33" s="181">
        <f t="shared" si="15"/>
        <v>10.522411218357307</v>
      </c>
      <c r="BA33" s="181">
        <f t="shared" si="16"/>
        <v>3.7880680386086265</v>
      </c>
      <c r="BB33" s="181">
        <f t="shared" si="17"/>
        <v>0.42089644873429677</v>
      </c>
      <c r="BC33" s="181">
        <f t="shared" si="18"/>
        <v>0</v>
      </c>
      <c r="BD33" s="181">
        <f t="shared" si="19"/>
        <v>2.0765020017915568</v>
      </c>
      <c r="BE33" s="181">
        <f t="shared" si="20"/>
        <v>1.6623520180547362</v>
      </c>
      <c r="BF33" s="181">
        <f t="shared" si="21"/>
        <v>1.2942186991775639</v>
      </c>
      <c r="BG33" s="181">
        <f t="shared" si="22"/>
        <v>0.97210204516003584</v>
      </c>
      <c r="BH33" s="181">
        <f t="shared" si="23"/>
        <v>0.69600205600215659</v>
      </c>
      <c r="BI33" s="181">
        <f t="shared" si="24"/>
        <v>0.46591873170392289</v>
      </c>
      <c r="BJ33" s="181">
        <f t="shared" si="25"/>
        <v>0.28185207226533604</v>
      </c>
      <c r="BK33" s="181">
        <f t="shared" si="26"/>
        <v>0.14380207768639583</v>
      </c>
      <c r="BL33" s="181">
        <f t="shared" si="27"/>
        <v>5.1768747967102444E-2</v>
      </c>
      <c r="BM33" s="181">
        <f t="shared" si="28"/>
        <v>5.7520831074558947E-3</v>
      </c>
      <c r="BN33" s="181">
        <f t="shared" si="29"/>
        <v>0</v>
      </c>
      <c r="BO33" s="191">
        <f t="shared" si="56"/>
        <v>7.650270532916263</v>
      </c>
      <c r="BP33" s="191">
        <f t="shared" si="30"/>
        <v>0.65669687281958233</v>
      </c>
      <c r="BQ33" s="191">
        <f t="shared" si="31"/>
        <v>0.35533522444328086</v>
      </c>
      <c r="BR33" s="191">
        <f t="shared" si="32"/>
        <v>0.14399153692374811</v>
      </c>
      <c r="BS33" s="191">
        <f t="shared" si="33"/>
        <v>8.5160999666242278E-3</v>
      </c>
      <c r="BT33" s="191">
        <f t="shared" si="34"/>
        <v>-6.5240796722446079E-2</v>
      </c>
      <c r="BU33" s="191">
        <f t="shared" si="35"/>
        <v>-9.1428863437821736E-2</v>
      </c>
      <c r="BV33" s="191">
        <f t="shared" si="36"/>
        <v>-8.4197810473859977E-2</v>
      </c>
      <c r="BW33" s="191">
        <f t="shared" si="37"/>
        <v>-5.7697348124918391E-2</v>
      </c>
      <c r="BX33" s="191">
        <f t="shared" si="38"/>
        <v>-2.6077186685354702E-2</v>
      </c>
      <c r="BY33" s="191">
        <f t="shared" si="39"/>
        <v>-3.4870364495265724E-3</v>
      </c>
      <c r="BZ33" s="191">
        <f t="shared" si="40"/>
        <v>0</v>
      </c>
      <c r="CA33" s="191">
        <f t="shared" si="57"/>
        <v>0.83641069225930809</v>
      </c>
      <c r="CJ33" s="178">
        <f t="shared" si="41"/>
        <v>4.9000000000000002E-2</v>
      </c>
      <c r="CK33" s="181">
        <f t="shared" si="42"/>
        <v>8.7662666666666667E-2</v>
      </c>
      <c r="CL33" s="182">
        <f t="shared" si="58"/>
        <v>4.9000000000000002E-2</v>
      </c>
      <c r="CM33" s="162">
        <f t="shared" si="59"/>
        <v>4.3831333333333333E-2</v>
      </c>
      <c r="CN33" s="181">
        <f t="shared" si="60"/>
        <v>9.2831333333333335E-2</v>
      </c>
      <c r="CO33" s="180">
        <f t="shared" si="43"/>
        <v>7.2799423986833992E-2</v>
      </c>
      <c r="CP33" s="180">
        <f t="shared" si="44"/>
        <v>6.5120322841664954E-2</v>
      </c>
      <c r="CQ33" s="180">
        <f t="shared" si="45"/>
        <v>0.13791974682849895</v>
      </c>
      <c r="CR33" s="183">
        <f t="shared" si="46"/>
        <v>1.3376894157580746E-2</v>
      </c>
      <c r="CS33" s="183">
        <f t="shared" si="47"/>
        <v>-1.4271552886236485E-2</v>
      </c>
      <c r="CT33" s="186">
        <f t="shared" si="61"/>
        <v>-8.9465872865573948E-4</v>
      </c>
      <c r="CU33" s="180">
        <f>SUM($CT$19:CT33)</f>
        <v>5.9202851319718697E-2</v>
      </c>
      <c r="CV33" s="181">
        <f t="shared" si="48"/>
        <v>7.739990886726388</v>
      </c>
      <c r="CW33" s="181">
        <f t="shared" si="49"/>
        <v>-5.0207824229378369E-2</v>
      </c>
      <c r="CX33" s="188">
        <f t="shared" si="50"/>
        <v>57.377028996871971</v>
      </c>
      <c r="CY33" s="188">
        <f t="shared" si="62"/>
        <v>0.83641069225930809</v>
      </c>
    </row>
    <row r="34" spans="1:103" s="77" customFormat="1" ht="12.75" x14ac:dyDescent="0.2">
      <c r="A34" s="73"/>
      <c r="C34" s="73"/>
      <c r="D34" s="73"/>
      <c r="E34" s="73"/>
      <c r="F34" s="82"/>
      <c r="G34" s="73"/>
      <c r="H34" s="82"/>
      <c r="K34" s="73"/>
      <c r="L34" s="157"/>
      <c r="M34" s="156"/>
      <c r="N34" s="156"/>
      <c r="O34" s="156"/>
      <c r="P34" s="156"/>
      <c r="Q34" s="156"/>
      <c r="R34" s="156"/>
      <c r="S34" s="156"/>
      <c r="T34" s="156"/>
      <c r="U34" s="157"/>
      <c r="V34" s="88"/>
      <c r="W34" s="88">
        <v>15</v>
      </c>
      <c r="X34" s="181">
        <f t="shared" si="3"/>
        <v>2.0666666666666669</v>
      </c>
      <c r="Y34" s="168">
        <f t="shared" si="51"/>
        <v>-2.0666666666666669</v>
      </c>
      <c r="Z34" s="178">
        <f t="shared" si="63"/>
        <v>1.8666666666666665</v>
      </c>
      <c r="AA34" s="84">
        <f t="shared" si="52"/>
        <v>1.9999999999999998</v>
      </c>
      <c r="AB34" s="84">
        <f t="shared" si="53"/>
        <v>1.9333333333333331</v>
      </c>
      <c r="AC34" s="178">
        <f t="shared" si="4"/>
        <v>1.0638566666666667</v>
      </c>
      <c r="AD34" s="178">
        <f t="shared" si="5"/>
        <v>0.3725</v>
      </c>
      <c r="AE34" s="181">
        <f t="shared" si="6"/>
        <v>3.1916666666666664</v>
      </c>
      <c r="AF34" s="181">
        <f t="shared" si="64"/>
        <v>1.0106638333333331</v>
      </c>
      <c r="AG34" s="181">
        <f t="shared" si="64"/>
        <v>0.90427816666666683</v>
      </c>
      <c r="AH34" s="181">
        <f t="shared" si="64"/>
        <v>0.79789250000000012</v>
      </c>
      <c r="AI34" s="181">
        <f t="shared" si="64"/>
        <v>0.6915068333333334</v>
      </c>
      <c r="AJ34" s="181">
        <f t="shared" si="64"/>
        <v>0.58512116666666669</v>
      </c>
      <c r="AK34" s="181">
        <f t="shared" si="64"/>
        <v>0.47873549999999998</v>
      </c>
      <c r="AL34" s="181">
        <f t="shared" si="64"/>
        <v>0.37234983333333327</v>
      </c>
      <c r="AM34" s="181">
        <f t="shared" si="64"/>
        <v>0.26596416666666656</v>
      </c>
      <c r="AN34" s="181">
        <f t="shared" si="64"/>
        <v>0.15957850000000029</v>
      </c>
      <c r="AO34" s="181">
        <f t="shared" si="64"/>
        <v>5.3192833333333578E-2</v>
      </c>
      <c r="AP34" s="181">
        <f t="shared" si="64"/>
        <v>0</v>
      </c>
      <c r="AQ34" s="168">
        <f t="shared" si="54"/>
        <v>0.10638566666666667</v>
      </c>
      <c r="AR34" s="181">
        <f t="shared" si="55"/>
        <v>0.69135666666666662</v>
      </c>
      <c r="AS34" s="181">
        <f t="shared" si="8"/>
        <v>151.94361799307953</v>
      </c>
      <c r="AT34" s="181">
        <f t="shared" si="9"/>
        <v>121.6390736842106</v>
      </c>
      <c r="AU34" s="181">
        <f t="shared" si="10"/>
        <v>94.701700965215849</v>
      </c>
      <c r="AV34" s="181">
        <f t="shared" si="11"/>
        <v>71.131499836095443</v>
      </c>
      <c r="AW34" s="181">
        <f t="shared" si="12"/>
        <v>50.928470296849405</v>
      </c>
      <c r="AX34" s="181">
        <f t="shared" si="13"/>
        <v>34.092612347477683</v>
      </c>
      <c r="AY34" s="181">
        <f t="shared" si="14"/>
        <v>20.623925987980321</v>
      </c>
      <c r="AZ34" s="181">
        <f t="shared" si="15"/>
        <v>10.522411218357304</v>
      </c>
      <c r="BA34" s="181">
        <f t="shared" si="16"/>
        <v>3.7880680386086465</v>
      </c>
      <c r="BB34" s="181">
        <f t="shared" si="17"/>
        <v>0.42089644873429638</v>
      </c>
      <c r="BC34" s="181">
        <f t="shared" si="18"/>
        <v>0</v>
      </c>
      <c r="BD34" s="181">
        <f t="shared" si="19"/>
        <v>2.1552830794585458</v>
      </c>
      <c r="BE34" s="181">
        <f t="shared" si="20"/>
        <v>1.7254205262147377</v>
      </c>
      <c r="BF34" s="181">
        <f t="shared" si="21"/>
        <v>1.3433204788869064</v>
      </c>
      <c r="BG34" s="181">
        <f t="shared" si="22"/>
        <v>1.0089829374750539</v>
      </c>
      <c r="BH34" s="181">
        <f t="shared" si="23"/>
        <v>0.7224079019791807</v>
      </c>
      <c r="BI34" s="181">
        <f t="shared" si="24"/>
        <v>0.48359537239928596</v>
      </c>
      <c r="BJ34" s="181">
        <f t="shared" si="25"/>
        <v>0.29254534873537047</v>
      </c>
      <c r="BK34" s="181">
        <f t="shared" si="26"/>
        <v>0.14925783098743386</v>
      </c>
      <c r="BL34" s="181">
        <f t="shared" si="27"/>
        <v>5.3732819155476431E-2</v>
      </c>
      <c r="BM34" s="181">
        <f t="shared" si="28"/>
        <v>5.9703132394974146E-3</v>
      </c>
      <c r="BN34" s="181">
        <f t="shared" si="29"/>
        <v>0</v>
      </c>
      <c r="BO34" s="191">
        <f t="shared" si="56"/>
        <v>7.940516608531488</v>
      </c>
      <c r="BP34" s="191">
        <f t="shared" si="30"/>
        <v>0.68819733346651601</v>
      </c>
      <c r="BQ34" s="191">
        <f t="shared" si="31"/>
        <v>0.36737912657243166</v>
      </c>
      <c r="BR34" s="191">
        <f t="shared" si="32"/>
        <v>0.14311176665194919</v>
      </c>
      <c r="BS34" s="191">
        <f t="shared" si="33"/>
        <v>1.5151560444428945E-4</v>
      </c>
      <c r="BT34" s="191">
        <f t="shared" si="34"/>
        <v>-7.6745364670709193E-2</v>
      </c>
      <c r="BU34" s="191">
        <f t="shared" si="35"/>
        <v>-0.1028226122741373</v>
      </c>
      <c r="BV34" s="191">
        <f t="shared" si="36"/>
        <v>-9.3323965306466208E-2</v>
      </c>
      <c r="BW34" s="191">
        <f t="shared" si="37"/>
        <v>-6.3493161868321976E-2</v>
      </c>
      <c r="BX34" s="191">
        <f t="shared" si="38"/>
        <v>-2.8573940060330788E-2</v>
      </c>
      <c r="BY34" s="191">
        <f t="shared" si="39"/>
        <v>-3.8100379831184196E-3</v>
      </c>
      <c r="BZ34" s="191">
        <f t="shared" si="40"/>
        <v>0</v>
      </c>
      <c r="CA34" s="191">
        <f t="shared" si="57"/>
        <v>0.83007066013225717</v>
      </c>
      <c r="CJ34" s="178">
        <f t="shared" si="41"/>
        <v>4.9666666666666665E-2</v>
      </c>
      <c r="CK34" s="181">
        <f t="shared" si="42"/>
        <v>9.2180888888888882E-2</v>
      </c>
      <c r="CL34" s="182">
        <f t="shared" si="58"/>
        <v>4.9666666666666665E-2</v>
      </c>
      <c r="CM34" s="162">
        <f t="shared" si="59"/>
        <v>4.6090444444444441E-2</v>
      </c>
      <c r="CN34" s="181">
        <f t="shared" si="60"/>
        <v>9.5757111111111098E-2</v>
      </c>
      <c r="CO34" s="180">
        <f t="shared" si="43"/>
        <v>7.3789892340396346E-2</v>
      </c>
      <c r="CP34" s="180">
        <f t="shared" si="44"/>
        <v>6.8476689935769955E-2</v>
      </c>
      <c r="CQ34" s="180">
        <f t="shared" si="45"/>
        <v>0.14226658227616629</v>
      </c>
      <c r="CR34" s="183">
        <f t="shared" si="46"/>
        <v>1.3743367448398819E-2</v>
      </c>
      <c r="CS34" s="183">
        <f t="shared" si="47"/>
        <v>-1.5780605366120262E-2</v>
      </c>
      <c r="CT34" s="186">
        <f t="shared" si="61"/>
        <v>-2.037237917721443E-3</v>
      </c>
      <c r="CU34" s="180">
        <f>SUM($CT$19:CT34)</f>
        <v>5.7165613401997252E-2</v>
      </c>
      <c r="CV34" s="181">
        <f t="shared" si="48"/>
        <v>7.9839332338137909</v>
      </c>
      <c r="CW34" s="181">
        <f t="shared" si="49"/>
        <v>-0.11432882730610669</v>
      </c>
      <c r="CX34" s="188">
        <f t="shared" si="50"/>
        <v>59.553874563986163</v>
      </c>
      <c r="CY34" s="188">
        <f t="shared" si="62"/>
        <v>0.83007066013225717</v>
      </c>
    </row>
    <row r="35" spans="1:103" s="77" customFormat="1" ht="12.75" x14ac:dyDescent="0.2">
      <c r="A35" s="79"/>
      <c r="B35" s="80"/>
      <c r="C35" s="81"/>
      <c r="D35" s="73"/>
      <c r="G35" s="103" t="s">
        <v>244</v>
      </c>
      <c r="H35" s="84"/>
      <c r="L35" s="157"/>
      <c r="M35" s="156"/>
      <c r="N35" s="156"/>
      <c r="O35" s="156"/>
      <c r="P35" s="156"/>
      <c r="Q35" s="156"/>
      <c r="R35" s="156"/>
      <c r="S35" s="156"/>
      <c r="T35" s="156"/>
      <c r="U35" s="157"/>
      <c r="V35" s="88"/>
      <c r="W35" s="88">
        <v>16</v>
      </c>
      <c r="X35" s="181">
        <f t="shared" si="3"/>
        <v>1.9333333333333336</v>
      </c>
      <c r="Y35" s="168">
        <f t="shared" si="51"/>
        <v>-1.9333333333333336</v>
      </c>
      <c r="Z35" s="178">
        <f t="shared" si="63"/>
        <v>1.9999999999999998</v>
      </c>
      <c r="AA35" s="84">
        <f t="shared" si="52"/>
        <v>2.1333333333333333</v>
      </c>
      <c r="AB35" s="84">
        <f t="shared" si="53"/>
        <v>2.0666666666666664</v>
      </c>
      <c r="AC35" s="178">
        <f t="shared" si="4"/>
        <v>1.1027433333333332</v>
      </c>
      <c r="AD35" s="178">
        <f t="shared" si="5"/>
        <v>0.3775</v>
      </c>
      <c r="AE35" s="181">
        <f t="shared" si="6"/>
        <v>3.3083333333333331</v>
      </c>
      <c r="AF35" s="181">
        <f t="shared" si="64"/>
        <v>1.0476061666666667</v>
      </c>
      <c r="AG35" s="181">
        <f t="shared" si="64"/>
        <v>0.93733183333333292</v>
      </c>
      <c r="AH35" s="181">
        <f t="shared" si="64"/>
        <v>0.8270575</v>
      </c>
      <c r="AI35" s="181">
        <f t="shared" si="64"/>
        <v>0.71678316666666664</v>
      </c>
      <c r="AJ35" s="181">
        <f t="shared" si="64"/>
        <v>0.60650883333333327</v>
      </c>
      <c r="AK35" s="181">
        <f t="shared" si="64"/>
        <v>0.49623449999999991</v>
      </c>
      <c r="AL35" s="181">
        <f t="shared" si="64"/>
        <v>0.38596016666666655</v>
      </c>
      <c r="AM35" s="181">
        <f t="shared" si="64"/>
        <v>0.27568583333333363</v>
      </c>
      <c r="AN35" s="181">
        <f t="shared" si="64"/>
        <v>0.16541150000000027</v>
      </c>
      <c r="AO35" s="181">
        <f t="shared" si="64"/>
        <v>5.5137166666666904E-2</v>
      </c>
      <c r="AP35" s="181">
        <f t="shared" si="64"/>
        <v>0</v>
      </c>
      <c r="AQ35" s="168">
        <f t="shared" si="54"/>
        <v>0.11027433333333332</v>
      </c>
      <c r="AR35" s="181">
        <f t="shared" si="55"/>
        <v>0.72524333333333324</v>
      </c>
      <c r="AS35" s="181">
        <f t="shared" si="8"/>
        <v>151.94361799307964</v>
      </c>
      <c r="AT35" s="181">
        <f t="shared" si="9"/>
        <v>121.63907368421046</v>
      </c>
      <c r="AU35" s="181">
        <f t="shared" si="10"/>
        <v>94.701700965215849</v>
      </c>
      <c r="AV35" s="181">
        <f t="shared" si="11"/>
        <v>71.131499836095443</v>
      </c>
      <c r="AW35" s="181">
        <f t="shared" si="12"/>
        <v>50.928470296849405</v>
      </c>
      <c r="AX35" s="181">
        <f t="shared" si="13"/>
        <v>34.092612347477683</v>
      </c>
      <c r="AY35" s="181">
        <f t="shared" si="14"/>
        <v>20.623925987980321</v>
      </c>
      <c r="AZ35" s="181">
        <f t="shared" si="15"/>
        <v>10.522411218357336</v>
      </c>
      <c r="BA35" s="181">
        <f t="shared" si="16"/>
        <v>3.7880680386086465</v>
      </c>
      <c r="BB35" s="181">
        <f t="shared" si="17"/>
        <v>0.42089644873429632</v>
      </c>
      <c r="BC35" s="181">
        <f t="shared" si="18"/>
        <v>0</v>
      </c>
      <c r="BD35" s="181">
        <f t="shared" si="19"/>
        <v>2.2340641571255366</v>
      </c>
      <c r="BE35" s="181">
        <f t="shared" si="20"/>
        <v>1.7884890343747355</v>
      </c>
      <c r="BF35" s="181">
        <f t="shared" si="21"/>
        <v>1.3924222585962487</v>
      </c>
      <c r="BG35" s="181">
        <f t="shared" si="22"/>
        <v>1.0458638297900711</v>
      </c>
      <c r="BH35" s="181">
        <f t="shared" si="23"/>
        <v>0.74881374795620481</v>
      </c>
      <c r="BI35" s="181">
        <f t="shared" si="24"/>
        <v>0.50127201309464919</v>
      </c>
      <c r="BJ35" s="181">
        <f t="shared" si="25"/>
        <v>0.30323862520540501</v>
      </c>
      <c r="BK35" s="181">
        <f t="shared" si="26"/>
        <v>0.15471358428847237</v>
      </c>
      <c r="BL35" s="181">
        <f t="shared" si="27"/>
        <v>5.5696890343850135E-2</v>
      </c>
      <c r="BM35" s="181">
        <f t="shared" si="28"/>
        <v>6.1885433715389371E-3</v>
      </c>
      <c r="BN35" s="181">
        <f t="shared" si="29"/>
        <v>0</v>
      </c>
      <c r="BO35" s="191">
        <f t="shared" si="56"/>
        <v>8.2307626841467112</v>
      </c>
      <c r="BP35" s="191">
        <f t="shared" si="30"/>
        <v>0.72017925153943352</v>
      </c>
      <c r="BQ35" s="191">
        <f t="shared" si="31"/>
        <v>0.37931795656698553</v>
      </c>
      <c r="BR35" s="191">
        <f t="shared" si="32"/>
        <v>0.14176831190709502</v>
      </c>
      <c r="BS35" s="191">
        <f t="shared" si="33"/>
        <v>-8.8481823106622316E-3</v>
      </c>
      <c r="BT35" s="191">
        <f t="shared" si="34"/>
        <v>-8.8910025956705968E-2</v>
      </c>
      <c r="BU35" s="191">
        <f t="shared" si="35"/>
        <v>-0.114795718901457</v>
      </c>
      <c r="BV35" s="191">
        <f t="shared" si="36"/>
        <v>-0.10288376101533631</v>
      </c>
      <c r="BW35" s="191">
        <f t="shared" si="37"/>
        <v>-6.9552652168764856E-2</v>
      </c>
      <c r="BX35" s="191">
        <f t="shared" si="38"/>
        <v>-3.1180892232163231E-2</v>
      </c>
      <c r="BY35" s="191">
        <f t="shared" si="39"/>
        <v>-4.1469810759523643E-3</v>
      </c>
      <c r="BZ35" s="191">
        <f t="shared" si="40"/>
        <v>0</v>
      </c>
      <c r="CA35" s="191">
        <f t="shared" si="57"/>
        <v>0.82094730635247204</v>
      </c>
      <c r="CJ35" s="178">
        <f t="shared" si="41"/>
        <v>5.0333333333333334E-2</v>
      </c>
      <c r="CK35" s="181">
        <f t="shared" si="42"/>
        <v>9.6699111111111097E-2</v>
      </c>
      <c r="CL35" s="182">
        <f t="shared" si="58"/>
        <v>5.0333333333333334E-2</v>
      </c>
      <c r="CM35" s="162">
        <f t="shared" si="59"/>
        <v>4.8349555555555548E-2</v>
      </c>
      <c r="CN35" s="181">
        <f t="shared" si="60"/>
        <v>9.8682888888888876E-2</v>
      </c>
      <c r="CO35" s="180">
        <f t="shared" si="43"/>
        <v>7.4780360693958714E-2</v>
      </c>
      <c r="CP35" s="180">
        <f t="shared" si="44"/>
        <v>7.1833057029874955E-2</v>
      </c>
      <c r="CQ35" s="180">
        <f t="shared" si="45"/>
        <v>0.14661341772383366</v>
      </c>
      <c r="CR35" s="183">
        <f t="shared" si="46"/>
        <v>1.4114793080984707E-2</v>
      </c>
      <c r="CS35" s="183">
        <f t="shared" si="47"/>
        <v>-1.7365481907956646E-2</v>
      </c>
      <c r="CT35" s="186">
        <f t="shared" si="61"/>
        <v>-3.2506888269719387E-3</v>
      </c>
      <c r="CU35" s="180">
        <f>SUM($CT$19:CT35)</f>
        <v>5.3914924575025315E-2</v>
      </c>
      <c r="CV35" s="181">
        <f t="shared" si="48"/>
        <v>8.2278755809011948</v>
      </c>
      <c r="CW35" s="181">
        <f t="shared" si="49"/>
        <v>-0.18242711776169759</v>
      </c>
      <c r="CX35" s="188">
        <f t="shared" si="50"/>
        <v>61.730720131100334</v>
      </c>
      <c r="CY35" s="188">
        <f t="shared" si="62"/>
        <v>0.82094730635247204</v>
      </c>
    </row>
    <row r="36" spans="1:103" s="77" customFormat="1" ht="12.75" x14ac:dyDescent="0.2">
      <c r="A36" s="79" t="s">
        <v>138</v>
      </c>
      <c r="G36" s="103" t="s">
        <v>137</v>
      </c>
      <c r="H36" s="84"/>
      <c r="L36" s="157"/>
      <c r="M36" s="156"/>
      <c r="N36" s="156"/>
      <c r="O36" s="156"/>
      <c r="P36" s="156"/>
      <c r="Q36" s="156"/>
      <c r="R36" s="156"/>
      <c r="S36" s="156"/>
      <c r="T36" s="156"/>
      <c r="U36" s="157"/>
      <c r="V36" s="88"/>
      <c r="W36" s="88">
        <v>17</v>
      </c>
      <c r="X36" s="181">
        <f t="shared" si="3"/>
        <v>1.7999999999999998</v>
      </c>
      <c r="Y36" s="168">
        <f t="shared" si="51"/>
        <v>-1.7999999999999998</v>
      </c>
      <c r="Z36" s="178">
        <f t="shared" si="63"/>
        <v>2.1333333333333333</v>
      </c>
      <c r="AA36" s="84">
        <f t="shared" si="52"/>
        <v>2.2666666666666666</v>
      </c>
      <c r="AB36" s="84">
        <f t="shared" si="53"/>
        <v>2.2000000000000002</v>
      </c>
      <c r="AC36" s="178">
        <f t="shared" si="4"/>
        <v>1.1416300000000001</v>
      </c>
      <c r="AD36" s="178">
        <f t="shared" si="5"/>
        <v>0.38250000000000001</v>
      </c>
      <c r="AE36" s="181">
        <f t="shared" si="6"/>
        <v>3.4250000000000003</v>
      </c>
      <c r="AF36" s="181">
        <f t="shared" si="64"/>
        <v>1.0845484999999999</v>
      </c>
      <c r="AG36" s="181">
        <f t="shared" si="64"/>
        <v>0.97038550000000035</v>
      </c>
      <c r="AH36" s="181">
        <f t="shared" si="64"/>
        <v>0.85622249999999989</v>
      </c>
      <c r="AI36" s="181">
        <f t="shared" si="64"/>
        <v>0.74205950000000032</v>
      </c>
      <c r="AJ36" s="181">
        <f t="shared" si="64"/>
        <v>0.62789649999999986</v>
      </c>
      <c r="AK36" s="181">
        <f t="shared" si="64"/>
        <v>0.51373350000000029</v>
      </c>
      <c r="AL36" s="181">
        <f t="shared" si="64"/>
        <v>0.39957050000000027</v>
      </c>
      <c r="AM36" s="181">
        <f t="shared" si="64"/>
        <v>0.28540750000000026</v>
      </c>
      <c r="AN36" s="181">
        <f t="shared" si="64"/>
        <v>0.17124450000000024</v>
      </c>
      <c r="AO36" s="181">
        <f t="shared" si="64"/>
        <v>5.7081500000000229E-2</v>
      </c>
      <c r="AP36" s="181">
        <f t="shared" si="64"/>
        <v>0</v>
      </c>
      <c r="AQ36" s="168">
        <f t="shared" si="54"/>
        <v>0.11416300000000001</v>
      </c>
      <c r="AR36" s="181">
        <f t="shared" si="55"/>
        <v>0.75913000000000008</v>
      </c>
      <c r="AS36" s="181">
        <f t="shared" si="8"/>
        <v>151.94361799307956</v>
      </c>
      <c r="AT36" s="181">
        <f t="shared" si="9"/>
        <v>121.6390736842106</v>
      </c>
      <c r="AU36" s="181">
        <f t="shared" si="10"/>
        <v>94.701700965215764</v>
      </c>
      <c r="AV36" s="181">
        <f t="shared" si="11"/>
        <v>71.131499836095486</v>
      </c>
      <c r="AW36" s="181">
        <f t="shared" si="12"/>
        <v>50.928470296849362</v>
      </c>
      <c r="AX36" s="181">
        <f t="shared" si="13"/>
        <v>34.092612347477719</v>
      </c>
      <c r="AY36" s="181">
        <f t="shared" si="14"/>
        <v>20.623925987980357</v>
      </c>
      <c r="AZ36" s="181">
        <f t="shared" si="15"/>
        <v>10.522411218357332</v>
      </c>
      <c r="BA36" s="181">
        <f t="shared" si="16"/>
        <v>3.7880680386086425</v>
      </c>
      <c r="BB36" s="181">
        <f t="shared" si="17"/>
        <v>0.42089644873429582</v>
      </c>
      <c r="BC36" s="181">
        <f t="shared" si="18"/>
        <v>0</v>
      </c>
      <c r="BD36" s="181">
        <f t="shared" si="19"/>
        <v>2.3128452347925257</v>
      </c>
      <c r="BE36" s="181">
        <f t="shared" si="20"/>
        <v>1.8515575425347381</v>
      </c>
      <c r="BF36" s="181">
        <f t="shared" si="21"/>
        <v>1.4415240383055905</v>
      </c>
      <c r="BG36" s="181">
        <f t="shared" si="22"/>
        <v>1.0827447221050892</v>
      </c>
      <c r="BH36" s="181">
        <f t="shared" si="23"/>
        <v>0.77521959393322859</v>
      </c>
      <c r="BI36" s="181">
        <f t="shared" si="24"/>
        <v>0.5189486537900132</v>
      </c>
      <c r="BJ36" s="181">
        <f t="shared" si="25"/>
        <v>0.31393190167544022</v>
      </c>
      <c r="BK36" s="181">
        <f t="shared" si="26"/>
        <v>0.16016933758951044</v>
      </c>
      <c r="BL36" s="181">
        <f t="shared" si="27"/>
        <v>5.7660961532223796E-2</v>
      </c>
      <c r="BM36" s="181">
        <f t="shared" si="28"/>
        <v>6.4067735035804553E-3</v>
      </c>
      <c r="BN36" s="181">
        <f t="shared" si="29"/>
        <v>0</v>
      </c>
      <c r="BO36" s="191">
        <f t="shared" si="56"/>
        <v>8.5210087597619388</v>
      </c>
      <c r="BP36" s="191">
        <f t="shared" si="30"/>
        <v>0.75264262703833118</v>
      </c>
      <c r="BQ36" s="191">
        <f t="shared" si="31"/>
        <v>0.39115171442694785</v>
      </c>
      <c r="BR36" s="191">
        <f t="shared" si="32"/>
        <v>0.13996117268918526</v>
      </c>
      <c r="BS36" s="191">
        <f t="shared" si="33"/>
        <v>-1.8482993778694671E-2</v>
      </c>
      <c r="BT36" s="191">
        <f t="shared" si="34"/>
        <v>-0.10173478058043653</v>
      </c>
      <c r="BU36" s="191">
        <f t="shared" si="35"/>
        <v>-0.12734818331978087</v>
      </c>
      <c r="BV36" s="191">
        <f t="shared" si="36"/>
        <v>-0.11287719760047038</v>
      </c>
      <c r="BW36" s="191">
        <f t="shared" si="37"/>
        <v>-7.5875819026246835E-2</v>
      </c>
      <c r="BX36" s="191">
        <f t="shared" si="38"/>
        <v>-3.3898043200852143E-2</v>
      </c>
      <c r="BY36" s="191">
        <f t="shared" si="39"/>
        <v>-4.4978657280284025E-3</v>
      </c>
      <c r="BZ36" s="191">
        <f t="shared" si="40"/>
        <v>0</v>
      </c>
      <c r="CA36" s="191">
        <f t="shared" si="57"/>
        <v>0.80904063091995426</v>
      </c>
      <c r="CJ36" s="178">
        <f t="shared" si="41"/>
        <v>5.0999999999999997E-2</v>
      </c>
      <c r="CK36" s="181">
        <f t="shared" si="42"/>
        <v>0.10121733333333334</v>
      </c>
      <c r="CL36" s="182">
        <f t="shared" si="58"/>
        <v>5.0999999999999997E-2</v>
      </c>
      <c r="CM36" s="162">
        <f t="shared" si="59"/>
        <v>5.060866666666667E-2</v>
      </c>
      <c r="CN36" s="181">
        <f t="shared" si="60"/>
        <v>0.10160866666666667</v>
      </c>
      <c r="CO36" s="180">
        <f t="shared" si="43"/>
        <v>7.5770829047521082E-2</v>
      </c>
      <c r="CP36" s="180">
        <f t="shared" si="44"/>
        <v>7.5189424123979984E-2</v>
      </c>
      <c r="CQ36" s="180">
        <f t="shared" si="45"/>
        <v>0.15096025317150105</v>
      </c>
      <c r="CR36" s="183">
        <f t="shared" si="46"/>
        <v>1.4491171055338408E-2</v>
      </c>
      <c r="CS36" s="183">
        <f t="shared" si="47"/>
        <v>-1.9026182511745642E-2</v>
      </c>
      <c r="CT36" s="186">
        <f t="shared" si="61"/>
        <v>-4.5350114564072334E-3</v>
      </c>
      <c r="CU36" s="180">
        <f>SUM($CT$19:CT36)</f>
        <v>4.9379913118618085E-2</v>
      </c>
      <c r="CV36" s="181">
        <f t="shared" si="48"/>
        <v>8.4718179279886012</v>
      </c>
      <c r="CW36" s="181">
        <f t="shared" si="49"/>
        <v>-0.25450269559615152</v>
      </c>
      <c r="CX36" s="188">
        <f t="shared" si="50"/>
        <v>63.90756569821454</v>
      </c>
      <c r="CY36" s="188">
        <f t="shared" si="62"/>
        <v>0.80904063091995426</v>
      </c>
    </row>
    <row r="37" spans="1:103" s="77" customFormat="1" ht="12.75" x14ac:dyDescent="0.2">
      <c r="A37" s="79" t="s">
        <v>137</v>
      </c>
      <c r="F37" s="173">
        <v>0.45</v>
      </c>
      <c r="G37" s="77" t="s">
        <v>136</v>
      </c>
      <c r="H37" s="84"/>
      <c r="L37" s="157"/>
      <c r="M37" s="156"/>
      <c r="N37" s="156"/>
      <c r="O37" s="156"/>
      <c r="P37" s="156"/>
      <c r="Q37" s="156"/>
      <c r="R37" s="156"/>
      <c r="S37" s="156"/>
      <c r="T37" s="156"/>
      <c r="U37" s="157"/>
      <c r="V37" s="88"/>
      <c r="W37" s="88">
        <v>18</v>
      </c>
      <c r="X37" s="181">
        <f t="shared" si="3"/>
        <v>1.666666666666667</v>
      </c>
      <c r="Y37" s="168">
        <f t="shared" si="51"/>
        <v>-1.666666666666667</v>
      </c>
      <c r="Z37" s="178">
        <f t="shared" si="63"/>
        <v>2.2666666666666666</v>
      </c>
      <c r="AA37" s="84">
        <f t="shared" si="52"/>
        <v>2.4</v>
      </c>
      <c r="AB37" s="84">
        <f t="shared" si="53"/>
        <v>2.333333333333333</v>
      </c>
      <c r="AC37" s="178">
        <f t="shared" si="4"/>
        <v>1.1805166666666667</v>
      </c>
      <c r="AD37" s="178">
        <f t="shared" si="5"/>
        <v>0.38750000000000001</v>
      </c>
      <c r="AE37" s="181">
        <f t="shared" si="6"/>
        <v>3.5416666666666665</v>
      </c>
      <c r="AF37" s="181">
        <f t="shared" si="64"/>
        <v>1.1214908333333331</v>
      </c>
      <c r="AG37" s="181">
        <f t="shared" si="64"/>
        <v>1.0034391666666669</v>
      </c>
      <c r="AH37" s="181">
        <f t="shared" si="64"/>
        <v>0.88538749999999977</v>
      </c>
      <c r="AI37" s="181">
        <f t="shared" si="64"/>
        <v>0.76733583333333355</v>
      </c>
      <c r="AJ37" s="181">
        <f t="shared" si="64"/>
        <v>0.64928416666666644</v>
      </c>
      <c r="AK37" s="181">
        <f t="shared" si="64"/>
        <v>0.53123250000000022</v>
      </c>
      <c r="AL37" s="181">
        <f t="shared" si="64"/>
        <v>0.41318083333333355</v>
      </c>
      <c r="AM37" s="181">
        <f t="shared" si="64"/>
        <v>0.29512916666666689</v>
      </c>
      <c r="AN37" s="181">
        <f t="shared" si="64"/>
        <v>0.17707750000000022</v>
      </c>
      <c r="AO37" s="181">
        <f t="shared" si="64"/>
        <v>5.9025833333333555E-2</v>
      </c>
      <c r="AP37" s="181">
        <f t="shared" si="64"/>
        <v>0</v>
      </c>
      <c r="AQ37" s="168">
        <f t="shared" si="54"/>
        <v>0.11805166666666667</v>
      </c>
      <c r="AR37" s="181">
        <f t="shared" si="55"/>
        <v>0.7930166666666667</v>
      </c>
      <c r="AS37" s="181">
        <f t="shared" si="8"/>
        <v>151.94361799307956</v>
      </c>
      <c r="AT37" s="181">
        <f t="shared" si="9"/>
        <v>121.6390736842106</v>
      </c>
      <c r="AU37" s="181">
        <f t="shared" si="10"/>
        <v>94.701700965215764</v>
      </c>
      <c r="AV37" s="181">
        <f t="shared" si="11"/>
        <v>71.131499836095458</v>
      </c>
      <c r="AW37" s="181">
        <f t="shared" si="12"/>
        <v>50.928470296849362</v>
      </c>
      <c r="AX37" s="181">
        <f t="shared" si="13"/>
        <v>34.092612347477719</v>
      </c>
      <c r="AY37" s="181">
        <f t="shared" si="14"/>
        <v>20.623925987980357</v>
      </c>
      <c r="AZ37" s="181">
        <f t="shared" si="15"/>
        <v>10.522411218357327</v>
      </c>
      <c r="BA37" s="181">
        <f t="shared" si="16"/>
        <v>3.7880680386086425</v>
      </c>
      <c r="BB37" s="181">
        <f t="shared" si="17"/>
        <v>0.42089644873429571</v>
      </c>
      <c r="BC37" s="181">
        <f t="shared" si="18"/>
        <v>0</v>
      </c>
      <c r="BD37" s="181">
        <f t="shared" si="19"/>
        <v>2.3916263124595152</v>
      </c>
      <c r="BE37" s="181">
        <f t="shared" si="20"/>
        <v>1.9146260506947379</v>
      </c>
      <c r="BF37" s="181">
        <f t="shared" si="21"/>
        <v>1.4906258180149328</v>
      </c>
      <c r="BG37" s="181">
        <f t="shared" si="22"/>
        <v>1.119625614420106</v>
      </c>
      <c r="BH37" s="181">
        <f t="shared" si="23"/>
        <v>0.8016254399102527</v>
      </c>
      <c r="BI37" s="181">
        <f t="shared" si="24"/>
        <v>0.53662529448537644</v>
      </c>
      <c r="BJ37" s="181">
        <f t="shared" si="25"/>
        <v>0.32462517814547481</v>
      </c>
      <c r="BK37" s="181">
        <f t="shared" si="26"/>
        <v>0.16562509089054839</v>
      </c>
      <c r="BL37" s="181">
        <f t="shared" si="27"/>
        <v>5.96250327205975E-2</v>
      </c>
      <c r="BM37" s="181">
        <f t="shared" si="28"/>
        <v>6.6250036356219778E-3</v>
      </c>
      <c r="BN37" s="181">
        <f t="shared" si="29"/>
        <v>0</v>
      </c>
      <c r="BO37" s="191">
        <f t="shared" si="56"/>
        <v>8.8112548353771647</v>
      </c>
      <c r="BP37" s="191">
        <f t="shared" si="30"/>
        <v>0.78558745996321155</v>
      </c>
      <c r="BQ37" s="191">
        <f t="shared" si="31"/>
        <v>0.40288040015231386</v>
      </c>
      <c r="BR37" s="191">
        <f t="shared" si="32"/>
        <v>0.13769034899822064</v>
      </c>
      <c r="BS37" s="191">
        <f t="shared" si="33"/>
        <v>-2.8752918799653471E-2</v>
      </c>
      <c r="BT37" s="191">
        <f t="shared" si="34"/>
        <v>-0.11521962854190061</v>
      </c>
      <c r="BU37" s="191">
        <f t="shared" si="35"/>
        <v>-0.14048000552910878</v>
      </c>
      <c r="BV37" s="191">
        <f t="shared" si="36"/>
        <v>-0.12330427506186815</v>
      </c>
      <c r="BW37" s="191">
        <f t="shared" si="37"/>
        <v>-8.2462662440767887E-2</v>
      </c>
      <c r="BX37" s="191">
        <f t="shared" si="38"/>
        <v>-3.6725392966397548E-2</v>
      </c>
      <c r="BY37" s="191">
        <f t="shared" si="39"/>
        <v>-4.8626919393465369E-3</v>
      </c>
      <c r="BZ37" s="191">
        <f t="shared" si="40"/>
        <v>0</v>
      </c>
      <c r="CA37" s="191">
        <f t="shared" si="57"/>
        <v>0.79435063383470317</v>
      </c>
      <c r="CJ37" s="178">
        <f t="shared" si="41"/>
        <v>5.1666666666666666E-2</v>
      </c>
      <c r="CK37" s="181">
        <f t="shared" si="42"/>
        <v>0.10573555555555555</v>
      </c>
      <c r="CL37" s="182">
        <f t="shared" si="58"/>
        <v>5.1666666666666666E-2</v>
      </c>
      <c r="CM37" s="162">
        <f t="shared" si="59"/>
        <v>5.2867777777777777E-2</v>
      </c>
      <c r="CN37" s="181">
        <f t="shared" si="60"/>
        <v>0.10453444444444444</v>
      </c>
      <c r="CO37" s="180">
        <f t="shared" si="43"/>
        <v>7.676129740108345E-2</v>
      </c>
      <c r="CP37" s="180">
        <f t="shared" si="44"/>
        <v>7.8545791218084984E-2</v>
      </c>
      <c r="CQ37" s="180">
        <f t="shared" si="45"/>
        <v>0.15530708861916845</v>
      </c>
      <c r="CR37" s="183">
        <f t="shared" si="46"/>
        <v>1.4872501371459918E-2</v>
      </c>
      <c r="CS37" s="183">
        <f t="shared" si="47"/>
        <v>-2.0762707177487232E-2</v>
      </c>
      <c r="CT37" s="186">
        <f t="shared" si="61"/>
        <v>-5.8902058060273134E-3</v>
      </c>
      <c r="CU37" s="180">
        <f>SUM($CT$19:CT37)</f>
        <v>4.3489707312590775E-2</v>
      </c>
      <c r="CV37" s="181">
        <f t="shared" si="48"/>
        <v>8.7157602750760077</v>
      </c>
      <c r="CW37" s="181">
        <f t="shared" si="49"/>
        <v>-0.33055556080946763</v>
      </c>
      <c r="CX37" s="188">
        <f t="shared" si="50"/>
        <v>66.08441126532874</v>
      </c>
      <c r="CY37" s="188">
        <f t="shared" si="62"/>
        <v>0.79435063383470317</v>
      </c>
    </row>
    <row r="38" spans="1:103" s="77" customFormat="1" ht="12.75" x14ac:dyDescent="0.2">
      <c r="A38" s="173">
        <v>0.3</v>
      </c>
      <c r="B38" s="77" t="s">
        <v>136</v>
      </c>
      <c r="E38" s="73"/>
      <c r="F38" s="84"/>
      <c r="G38" s="73"/>
      <c r="H38" s="84"/>
      <c r="K38" s="79"/>
      <c r="L38" s="157"/>
      <c r="M38" s="156"/>
      <c r="N38" s="156"/>
      <c r="O38" s="156"/>
      <c r="P38" s="156"/>
      <c r="Q38" s="156"/>
      <c r="R38" s="156"/>
      <c r="S38" s="156"/>
      <c r="T38" s="156"/>
      <c r="U38" s="157"/>
      <c r="V38" s="88"/>
      <c r="W38" s="88">
        <v>19</v>
      </c>
      <c r="X38" s="181">
        <f t="shared" si="3"/>
        <v>1.5333333333333332</v>
      </c>
      <c r="Y38" s="168">
        <f t="shared" si="51"/>
        <v>-1.5333333333333332</v>
      </c>
      <c r="Z38" s="178">
        <f t="shared" si="63"/>
        <v>2.4</v>
      </c>
      <c r="AA38" s="84">
        <f t="shared" si="52"/>
        <v>2.5333333333333332</v>
      </c>
      <c r="AB38" s="84">
        <f t="shared" si="53"/>
        <v>2.4666666666666668</v>
      </c>
      <c r="AC38" s="178">
        <f t="shared" si="4"/>
        <v>1.2194033333333334</v>
      </c>
      <c r="AD38" s="178">
        <f t="shared" si="5"/>
        <v>0.39250000000000002</v>
      </c>
      <c r="AE38" s="181">
        <f t="shared" si="6"/>
        <v>3.6583333333333332</v>
      </c>
      <c r="AF38" s="181">
        <f t="shared" si="64"/>
        <v>1.1584331666666667</v>
      </c>
      <c r="AG38" s="181">
        <f t="shared" si="64"/>
        <v>1.0364928333333334</v>
      </c>
      <c r="AH38" s="181">
        <f t="shared" si="64"/>
        <v>0.9145525000000001</v>
      </c>
      <c r="AI38" s="181">
        <f t="shared" si="64"/>
        <v>0.79261216666666678</v>
      </c>
      <c r="AJ38" s="181">
        <f t="shared" si="64"/>
        <v>0.67067183333333347</v>
      </c>
      <c r="AK38" s="181">
        <f t="shared" si="64"/>
        <v>0.54873150000000015</v>
      </c>
      <c r="AL38" s="181">
        <f t="shared" si="64"/>
        <v>0.42679116666666683</v>
      </c>
      <c r="AM38" s="181">
        <f t="shared" si="64"/>
        <v>0.30485083333333352</v>
      </c>
      <c r="AN38" s="181">
        <f t="shared" si="64"/>
        <v>0.1829105000000002</v>
      </c>
      <c r="AO38" s="181">
        <f t="shared" si="64"/>
        <v>6.0970166666666881E-2</v>
      </c>
      <c r="AP38" s="181">
        <f t="shared" si="64"/>
        <v>0</v>
      </c>
      <c r="AQ38" s="168">
        <f t="shared" si="54"/>
        <v>0.12194033333333335</v>
      </c>
      <c r="AR38" s="181">
        <f t="shared" si="55"/>
        <v>0.82690333333333332</v>
      </c>
      <c r="AS38" s="181">
        <f t="shared" si="8"/>
        <v>151.94361799307958</v>
      </c>
      <c r="AT38" s="181">
        <f t="shared" si="9"/>
        <v>121.63907368421052</v>
      </c>
      <c r="AU38" s="181">
        <f t="shared" si="10"/>
        <v>94.701700965215821</v>
      </c>
      <c r="AV38" s="181">
        <f t="shared" si="11"/>
        <v>71.131499836095443</v>
      </c>
      <c r="AW38" s="181">
        <f t="shared" si="12"/>
        <v>50.928470296849405</v>
      </c>
      <c r="AX38" s="181">
        <f t="shared" si="13"/>
        <v>34.092612347477711</v>
      </c>
      <c r="AY38" s="181">
        <f t="shared" si="14"/>
        <v>20.62392598798035</v>
      </c>
      <c r="AZ38" s="181">
        <f t="shared" si="15"/>
        <v>10.522411218357322</v>
      </c>
      <c r="BA38" s="181">
        <f t="shared" si="16"/>
        <v>3.7880680386086407</v>
      </c>
      <c r="BB38" s="181">
        <f t="shared" si="17"/>
        <v>0.42089644873429549</v>
      </c>
      <c r="BC38" s="181">
        <f t="shared" si="18"/>
        <v>0</v>
      </c>
      <c r="BD38" s="181">
        <f t="shared" si="19"/>
        <v>2.4704073901265051</v>
      </c>
      <c r="BE38" s="181">
        <f t="shared" si="20"/>
        <v>1.9776945588547368</v>
      </c>
      <c r="BF38" s="181">
        <f t="shared" si="21"/>
        <v>1.5397275977242764</v>
      </c>
      <c r="BG38" s="181">
        <f t="shared" si="22"/>
        <v>1.1565065067351232</v>
      </c>
      <c r="BH38" s="181">
        <f t="shared" si="23"/>
        <v>0.82803128588727759</v>
      </c>
      <c r="BI38" s="181">
        <f t="shared" si="24"/>
        <v>0.55430193518073978</v>
      </c>
      <c r="BJ38" s="181">
        <f t="shared" si="25"/>
        <v>0.33531845461550935</v>
      </c>
      <c r="BK38" s="181">
        <f t="shared" si="26"/>
        <v>0.1710808441915864</v>
      </c>
      <c r="BL38" s="181">
        <f t="shared" si="27"/>
        <v>6.1589103908971182E-2</v>
      </c>
      <c r="BM38" s="181">
        <f t="shared" si="28"/>
        <v>6.8432337676634985E-3</v>
      </c>
      <c r="BN38" s="181">
        <f t="shared" si="29"/>
        <v>0</v>
      </c>
      <c r="BO38" s="191">
        <f t="shared" si="56"/>
        <v>9.1015009109923888</v>
      </c>
      <c r="BP38" s="191">
        <f t="shared" si="30"/>
        <v>0.81901375031407542</v>
      </c>
      <c r="BQ38" s="191">
        <f t="shared" si="31"/>
        <v>0.41450401374308504</v>
      </c>
      <c r="BR38" s="191">
        <f t="shared" si="32"/>
        <v>0.13495584083420156</v>
      </c>
      <c r="BS38" s="191">
        <f t="shared" si="33"/>
        <v>-3.9657957373538416E-2</v>
      </c>
      <c r="BT38" s="191">
        <f t="shared" si="34"/>
        <v>-0.12936456984109809</v>
      </c>
      <c r="BU38" s="191">
        <f t="shared" si="35"/>
        <v>-0.15419118552944081</v>
      </c>
      <c r="BV38" s="191">
        <f t="shared" si="36"/>
        <v>-0.13416499339952973</v>
      </c>
      <c r="BW38" s="191">
        <f t="shared" si="37"/>
        <v>-8.9313182412328121E-2</v>
      </c>
      <c r="BX38" s="191">
        <f t="shared" si="38"/>
        <v>-3.9662941528799414E-2</v>
      </c>
      <c r="BY38" s="191">
        <f t="shared" si="39"/>
        <v>-5.2414597099067666E-3</v>
      </c>
      <c r="BZ38" s="191">
        <f t="shared" si="40"/>
        <v>0</v>
      </c>
      <c r="CA38" s="191">
        <f t="shared" si="57"/>
        <v>0.77687731509672042</v>
      </c>
      <c r="CJ38" s="178">
        <f t="shared" si="41"/>
        <v>5.2333333333333336E-2</v>
      </c>
      <c r="CK38" s="181">
        <f t="shared" si="42"/>
        <v>0.11025377777777777</v>
      </c>
      <c r="CL38" s="182">
        <f t="shared" si="58"/>
        <v>5.2333333333333336E-2</v>
      </c>
      <c r="CM38" s="162">
        <f t="shared" si="59"/>
        <v>5.5126888888888885E-2</v>
      </c>
      <c r="CN38" s="181">
        <f t="shared" si="60"/>
        <v>0.10746022222222222</v>
      </c>
      <c r="CO38" s="180">
        <f t="shared" si="43"/>
        <v>7.7751765754645819E-2</v>
      </c>
      <c r="CP38" s="180">
        <f t="shared" si="44"/>
        <v>8.1902158312189985E-2</v>
      </c>
      <c r="CQ38" s="180">
        <f t="shared" si="45"/>
        <v>0.15965392406683582</v>
      </c>
      <c r="CR38" s="183">
        <f t="shared" si="46"/>
        <v>1.5258784029349243E-2</v>
      </c>
      <c r="CS38" s="183">
        <f t="shared" si="47"/>
        <v>-2.2575055905181426E-2</v>
      </c>
      <c r="CT38" s="186">
        <f t="shared" si="61"/>
        <v>-7.3162718758321837E-3</v>
      </c>
      <c r="CU38" s="180">
        <f>SUM($CT$19:CT38)</f>
        <v>3.6173435436758591E-2</v>
      </c>
      <c r="CV38" s="181">
        <f t="shared" si="48"/>
        <v>8.9597026221634124</v>
      </c>
      <c r="CW38" s="181">
        <f t="shared" si="49"/>
        <v>-0.41058571340164624</v>
      </c>
      <c r="CX38" s="188">
        <f t="shared" si="50"/>
        <v>68.261256832442911</v>
      </c>
      <c r="CY38" s="188">
        <f t="shared" si="62"/>
        <v>0.77687731509672042</v>
      </c>
    </row>
    <row r="39" spans="1:103" s="77" customFormat="1" ht="12.75" x14ac:dyDescent="0.2">
      <c r="A39" s="73"/>
      <c r="E39" s="80"/>
      <c r="G39" s="171" t="s">
        <v>202</v>
      </c>
      <c r="I39" s="73"/>
      <c r="J39" s="73"/>
      <c r="K39" s="73"/>
      <c r="L39" s="157"/>
      <c r="M39" s="156"/>
      <c r="N39" s="156"/>
      <c r="O39" s="156"/>
      <c r="P39" s="156"/>
      <c r="Q39" s="156"/>
      <c r="R39" s="156"/>
      <c r="S39" s="156"/>
      <c r="T39" s="156"/>
      <c r="U39" s="157"/>
      <c r="V39" s="88"/>
      <c r="W39" s="88">
        <v>20</v>
      </c>
      <c r="X39" s="181">
        <f t="shared" si="3"/>
        <v>1.4000000000000004</v>
      </c>
      <c r="Y39" s="168">
        <f t="shared" si="51"/>
        <v>-1.4000000000000004</v>
      </c>
      <c r="Z39" s="178">
        <f t="shared" si="63"/>
        <v>2.5333333333333332</v>
      </c>
      <c r="AA39" s="84">
        <f t="shared" si="52"/>
        <v>2.6666666666666665</v>
      </c>
      <c r="AB39" s="84">
        <f t="shared" si="53"/>
        <v>2.5999999999999996</v>
      </c>
      <c r="AC39" s="178">
        <f t="shared" si="4"/>
        <v>1.2582899999999999</v>
      </c>
      <c r="AD39" s="178">
        <f t="shared" si="5"/>
        <v>0.39749999999999996</v>
      </c>
      <c r="AE39" s="181">
        <f t="shared" si="6"/>
        <v>3.7749999999999995</v>
      </c>
      <c r="AF39" s="181">
        <f t="shared" si="64"/>
        <v>1.1953754999999999</v>
      </c>
      <c r="AG39" s="181">
        <f t="shared" si="64"/>
        <v>1.0695465</v>
      </c>
      <c r="AH39" s="181">
        <f t="shared" si="64"/>
        <v>0.94371749999999999</v>
      </c>
      <c r="AI39" s="181">
        <f t="shared" si="64"/>
        <v>0.81788850000000002</v>
      </c>
      <c r="AJ39" s="181">
        <f t="shared" si="64"/>
        <v>0.69205950000000005</v>
      </c>
      <c r="AK39" s="181">
        <f t="shared" si="64"/>
        <v>0.56623050000000008</v>
      </c>
      <c r="AL39" s="181">
        <f t="shared" si="64"/>
        <v>0.44040150000000011</v>
      </c>
      <c r="AM39" s="181">
        <f t="shared" si="64"/>
        <v>0.31457250000000014</v>
      </c>
      <c r="AN39" s="181">
        <f t="shared" si="64"/>
        <v>0.18874350000000018</v>
      </c>
      <c r="AO39" s="181">
        <f t="shared" si="64"/>
        <v>6.2914500000000206E-2</v>
      </c>
      <c r="AP39" s="181">
        <f t="shared" si="64"/>
        <v>0</v>
      </c>
      <c r="AQ39" s="168">
        <f t="shared" si="54"/>
        <v>0.125829</v>
      </c>
      <c r="AR39" s="181">
        <f t="shared" si="55"/>
        <v>0.86078999999999994</v>
      </c>
      <c r="AS39" s="181">
        <f t="shared" si="8"/>
        <v>151.94361799307958</v>
      </c>
      <c r="AT39" s="181">
        <f t="shared" si="9"/>
        <v>121.63907368421052</v>
      </c>
      <c r="AU39" s="181">
        <f t="shared" si="10"/>
        <v>94.701700965215821</v>
      </c>
      <c r="AV39" s="181">
        <f t="shared" si="11"/>
        <v>71.131499836095443</v>
      </c>
      <c r="AW39" s="181">
        <f t="shared" si="12"/>
        <v>50.928470296849405</v>
      </c>
      <c r="AX39" s="181">
        <f t="shared" si="13"/>
        <v>34.092612347477711</v>
      </c>
      <c r="AY39" s="181">
        <f t="shared" si="14"/>
        <v>20.623925987980343</v>
      </c>
      <c r="AZ39" s="181">
        <f t="shared" si="15"/>
        <v>10.522411218357322</v>
      </c>
      <c r="BA39" s="181">
        <f t="shared" si="16"/>
        <v>3.7880680386086407</v>
      </c>
      <c r="BB39" s="181">
        <f t="shared" si="17"/>
        <v>0.42089644873429538</v>
      </c>
      <c r="BC39" s="181">
        <f t="shared" si="18"/>
        <v>0</v>
      </c>
      <c r="BD39" s="181">
        <f t="shared" si="19"/>
        <v>2.5491884677934946</v>
      </c>
      <c r="BE39" s="181">
        <f t="shared" si="20"/>
        <v>2.0407630670147365</v>
      </c>
      <c r="BF39" s="181">
        <f t="shared" si="21"/>
        <v>1.5888293774336189</v>
      </c>
      <c r="BG39" s="181">
        <f t="shared" si="22"/>
        <v>1.1933873990501405</v>
      </c>
      <c r="BH39" s="181">
        <f t="shared" si="23"/>
        <v>0.85443713186430181</v>
      </c>
      <c r="BI39" s="181">
        <f t="shared" si="24"/>
        <v>0.57197857587610301</v>
      </c>
      <c r="BJ39" s="181">
        <f t="shared" si="25"/>
        <v>0.34601173108554378</v>
      </c>
      <c r="BK39" s="181">
        <f t="shared" si="26"/>
        <v>0.17653659749262443</v>
      </c>
      <c r="BL39" s="181">
        <f t="shared" si="27"/>
        <v>6.3553175097344886E-2</v>
      </c>
      <c r="BM39" s="181">
        <f t="shared" si="28"/>
        <v>7.0614638997050201E-3</v>
      </c>
      <c r="BN39" s="181">
        <f t="shared" si="29"/>
        <v>0</v>
      </c>
      <c r="BO39" s="191">
        <f t="shared" si="56"/>
        <v>9.3917469866076129</v>
      </c>
      <c r="BP39" s="191">
        <f t="shared" si="30"/>
        <v>0.85292149809092022</v>
      </c>
      <c r="BQ39" s="191">
        <f t="shared" si="31"/>
        <v>0.42602255519926185</v>
      </c>
      <c r="BR39" s="191">
        <f t="shared" si="32"/>
        <v>0.13175764819712649</v>
      </c>
      <c r="BS39" s="191">
        <f t="shared" si="33"/>
        <v>-5.119810950034951E-2</v>
      </c>
      <c r="BT39" s="191">
        <f t="shared" si="34"/>
        <v>-0.14416960447802948</v>
      </c>
      <c r="BU39" s="191">
        <f t="shared" si="35"/>
        <v>-0.16848172332077688</v>
      </c>
      <c r="BV39" s="191">
        <f t="shared" si="36"/>
        <v>-0.14545935261345505</v>
      </c>
      <c r="BW39" s="191">
        <f t="shared" si="37"/>
        <v>-9.6427378940927552E-2</v>
      </c>
      <c r="BX39" s="191">
        <f t="shared" si="38"/>
        <v>-4.2710688888057777E-2</v>
      </c>
      <c r="BY39" s="191">
        <f t="shared" si="39"/>
        <v>-5.6341690397090907E-3</v>
      </c>
      <c r="BZ39" s="191">
        <f t="shared" si="40"/>
        <v>0</v>
      </c>
      <c r="CA39" s="191">
        <f t="shared" si="57"/>
        <v>0.75662067470600336</v>
      </c>
      <c r="CJ39" s="178">
        <f t="shared" si="41"/>
        <v>5.2999999999999992E-2</v>
      </c>
      <c r="CK39" s="181">
        <f t="shared" si="42"/>
        <v>0.11477199999999999</v>
      </c>
      <c r="CL39" s="182">
        <f t="shared" si="58"/>
        <v>5.2999999999999992E-2</v>
      </c>
      <c r="CM39" s="162">
        <f t="shared" si="59"/>
        <v>5.7385999999999993E-2</v>
      </c>
      <c r="CN39" s="181">
        <f t="shared" si="60"/>
        <v>0.11038599999999998</v>
      </c>
      <c r="CO39" s="180">
        <f t="shared" si="43"/>
        <v>7.8742234108208173E-2</v>
      </c>
      <c r="CP39" s="180">
        <f t="shared" si="44"/>
        <v>8.5258525406294985E-2</v>
      </c>
      <c r="CQ39" s="180">
        <f t="shared" si="45"/>
        <v>0.16400075951450316</v>
      </c>
      <c r="CR39" s="183">
        <f t="shared" si="46"/>
        <v>1.5650019029006371E-2</v>
      </c>
      <c r="CS39" s="183">
        <f t="shared" si="47"/>
        <v>-2.4463228694828216E-2</v>
      </c>
      <c r="CT39" s="186">
        <f t="shared" si="61"/>
        <v>-8.8132096658218445E-3</v>
      </c>
      <c r="CU39" s="180">
        <f>SUM($CT$19:CT39)</f>
        <v>2.7360225770936747E-2</v>
      </c>
      <c r="CV39" s="181">
        <f t="shared" si="48"/>
        <v>9.2036449692508153</v>
      </c>
      <c r="CW39" s="181">
        <f t="shared" si="49"/>
        <v>-0.49459315337268733</v>
      </c>
      <c r="CX39" s="188">
        <f t="shared" si="50"/>
        <v>70.438102399557096</v>
      </c>
      <c r="CY39" s="188">
        <f t="shared" si="62"/>
        <v>0.75662067470600336</v>
      </c>
    </row>
    <row r="40" spans="1:103" s="77" customFormat="1" ht="12.75" x14ac:dyDescent="0.2">
      <c r="A40" s="83" t="s">
        <v>135</v>
      </c>
      <c r="B40" s="76"/>
      <c r="D40" s="73"/>
      <c r="E40" s="76"/>
      <c r="F40" s="111"/>
      <c r="G40" s="83" t="s">
        <v>245</v>
      </c>
      <c r="I40" s="73"/>
      <c r="J40" s="73"/>
      <c r="L40" s="157"/>
      <c r="M40" s="156"/>
      <c r="N40" s="156"/>
      <c r="O40" s="156"/>
      <c r="P40" s="156"/>
      <c r="Q40" s="156"/>
      <c r="R40" s="156"/>
      <c r="S40" s="156"/>
      <c r="T40" s="156"/>
      <c r="U40" s="157"/>
      <c r="V40" s="88"/>
      <c r="W40" s="88">
        <v>21</v>
      </c>
      <c r="X40" s="181">
        <f t="shared" si="3"/>
        <v>1.2666666666666666</v>
      </c>
      <c r="Y40" s="168">
        <f t="shared" si="51"/>
        <v>-1.2666666666666666</v>
      </c>
      <c r="Z40" s="178">
        <f t="shared" si="63"/>
        <v>2.6666666666666665</v>
      </c>
      <c r="AA40" s="84">
        <f t="shared" si="52"/>
        <v>2.8</v>
      </c>
      <c r="AB40" s="84">
        <f t="shared" si="53"/>
        <v>2.7333333333333334</v>
      </c>
      <c r="AC40" s="178">
        <f t="shared" si="4"/>
        <v>1.2971766666666666</v>
      </c>
      <c r="AD40" s="178">
        <f t="shared" si="5"/>
        <v>0.40250000000000002</v>
      </c>
      <c r="AE40" s="181">
        <f t="shared" si="6"/>
        <v>3.8916666666666666</v>
      </c>
      <c r="AF40" s="181">
        <f t="shared" ref="AF40:AP49" si="65">($AE40-($AE40-AF$18*$AC40))</f>
        <v>1.2323178333333331</v>
      </c>
      <c r="AG40" s="181">
        <f t="shared" si="65"/>
        <v>1.1026001666666669</v>
      </c>
      <c r="AH40" s="181">
        <f t="shared" si="65"/>
        <v>0.97288249999999987</v>
      </c>
      <c r="AI40" s="181">
        <f t="shared" si="65"/>
        <v>0.84316483333333325</v>
      </c>
      <c r="AJ40" s="181">
        <f t="shared" si="65"/>
        <v>0.71344716666666663</v>
      </c>
      <c r="AK40" s="181">
        <f t="shared" si="65"/>
        <v>0.58372950000000001</v>
      </c>
      <c r="AL40" s="181">
        <f t="shared" si="65"/>
        <v>0.45401183333333339</v>
      </c>
      <c r="AM40" s="181">
        <f t="shared" si="65"/>
        <v>0.32429416666666677</v>
      </c>
      <c r="AN40" s="181">
        <f t="shared" si="65"/>
        <v>0.19457650000000015</v>
      </c>
      <c r="AO40" s="181">
        <f t="shared" si="65"/>
        <v>6.4858833333333532E-2</v>
      </c>
      <c r="AP40" s="181">
        <f t="shared" si="65"/>
        <v>0</v>
      </c>
      <c r="AQ40" s="168">
        <f t="shared" si="54"/>
        <v>0.12971766666666668</v>
      </c>
      <c r="AR40" s="181">
        <f t="shared" si="55"/>
        <v>0.89467666666666656</v>
      </c>
      <c r="AS40" s="181">
        <f t="shared" si="8"/>
        <v>151.94361799307956</v>
      </c>
      <c r="AT40" s="181">
        <f t="shared" si="9"/>
        <v>121.6390736842106</v>
      </c>
      <c r="AU40" s="181">
        <f t="shared" si="10"/>
        <v>94.701700965215778</v>
      </c>
      <c r="AV40" s="181">
        <f t="shared" si="11"/>
        <v>71.131499836095415</v>
      </c>
      <c r="AW40" s="181">
        <f t="shared" si="12"/>
        <v>50.928470296849383</v>
      </c>
      <c r="AX40" s="181">
        <f t="shared" si="13"/>
        <v>34.092612347477697</v>
      </c>
      <c r="AY40" s="181">
        <f t="shared" si="14"/>
        <v>20.623925987980336</v>
      </c>
      <c r="AZ40" s="181">
        <f t="shared" si="15"/>
        <v>10.522411218357322</v>
      </c>
      <c r="BA40" s="181">
        <f t="shared" si="16"/>
        <v>3.7880680386086394</v>
      </c>
      <c r="BB40" s="181">
        <f t="shared" si="17"/>
        <v>0.42089644873429516</v>
      </c>
      <c r="BC40" s="181">
        <f t="shared" si="18"/>
        <v>0</v>
      </c>
      <c r="BD40" s="181">
        <f t="shared" si="19"/>
        <v>2.6279695454604841</v>
      </c>
      <c r="BE40" s="181">
        <f t="shared" si="20"/>
        <v>2.1038315751747381</v>
      </c>
      <c r="BF40" s="181">
        <f t="shared" si="21"/>
        <v>1.6379311571429607</v>
      </c>
      <c r="BG40" s="181">
        <f t="shared" si="22"/>
        <v>1.2302682913651573</v>
      </c>
      <c r="BH40" s="181">
        <f t="shared" si="23"/>
        <v>0.8808429778413257</v>
      </c>
      <c r="BI40" s="181">
        <f t="shared" si="24"/>
        <v>0.58965521657146613</v>
      </c>
      <c r="BJ40" s="181">
        <f t="shared" si="25"/>
        <v>0.35670500755557832</v>
      </c>
      <c r="BK40" s="181">
        <f t="shared" si="26"/>
        <v>0.18199235079366252</v>
      </c>
      <c r="BL40" s="181">
        <f t="shared" si="27"/>
        <v>6.5517246285718575E-2</v>
      </c>
      <c r="BM40" s="181">
        <f t="shared" si="28"/>
        <v>7.2796940317465409E-3</v>
      </c>
      <c r="BN40" s="181">
        <f t="shared" si="29"/>
        <v>0</v>
      </c>
      <c r="BO40" s="191">
        <f t="shared" si="56"/>
        <v>9.681993062222837</v>
      </c>
      <c r="BP40" s="191">
        <f t="shared" si="30"/>
        <v>0.88731070329374728</v>
      </c>
      <c r="BQ40" s="191">
        <f t="shared" si="31"/>
        <v>0.43743602452084546</v>
      </c>
      <c r="BR40" s="191">
        <f t="shared" si="32"/>
        <v>0.12809577108699616</v>
      </c>
      <c r="BS40" s="191">
        <f t="shared" si="33"/>
        <v>-6.3373375180086733E-2</v>
      </c>
      <c r="BT40" s="191">
        <f t="shared" si="34"/>
        <v>-0.15963473245269447</v>
      </c>
      <c r="BU40" s="191">
        <f t="shared" si="35"/>
        <v>-0.18335161890311705</v>
      </c>
      <c r="BV40" s="191">
        <f t="shared" si="36"/>
        <v>-0.15718735270364428</v>
      </c>
      <c r="BW40" s="191">
        <f t="shared" si="37"/>
        <v>-0.10380525202656618</v>
      </c>
      <c r="BX40" s="191">
        <f t="shared" si="38"/>
        <v>-4.5868635044172608E-2</v>
      </c>
      <c r="BY40" s="191">
        <f t="shared" si="39"/>
        <v>-6.0408199287535101E-3</v>
      </c>
      <c r="BZ40" s="191">
        <f t="shared" si="40"/>
        <v>0</v>
      </c>
      <c r="CA40" s="191">
        <f t="shared" si="57"/>
        <v>0.73358071266255409</v>
      </c>
      <c r="CJ40" s="178">
        <f t="shared" si="41"/>
        <v>5.3666666666666668E-2</v>
      </c>
      <c r="CK40" s="181">
        <f t="shared" si="42"/>
        <v>0.1192902222222222</v>
      </c>
      <c r="CL40" s="182">
        <f t="shared" si="58"/>
        <v>5.3666666666666668E-2</v>
      </c>
      <c r="CM40" s="162">
        <f t="shared" si="59"/>
        <v>5.96451111111111E-2</v>
      </c>
      <c r="CN40" s="181">
        <f t="shared" si="60"/>
        <v>0.11331177777777776</v>
      </c>
      <c r="CO40" s="180">
        <f t="shared" si="43"/>
        <v>7.9732702461770555E-2</v>
      </c>
      <c r="CP40" s="180">
        <f t="shared" si="44"/>
        <v>8.8614892500399986E-2</v>
      </c>
      <c r="CQ40" s="180">
        <f t="shared" si="45"/>
        <v>0.16834759496217053</v>
      </c>
      <c r="CR40" s="183">
        <f t="shared" si="46"/>
        <v>1.6046206370431325E-2</v>
      </c>
      <c r="CS40" s="183">
        <f t="shared" si="47"/>
        <v>-2.6427225546427617E-2</v>
      </c>
      <c r="CT40" s="186">
        <f t="shared" si="61"/>
        <v>-1.0381019175996292E-2</v>
      </c>
      <c r="CU40" s="180">
        <f>SUM($CT$19:CT40)</f>
        <v>1.6979206594940455E-2</v>
      </c>
      <c r="CV40" s="181">
        <f t="shared" si="48"/>
        <v>9.44758731633822</v>
      </c>
      <c r="CW40" s="181">
        <f t="shared" si="49"/>
        <v>-0.58257788072259076</v>
      </c>
      <c r="CX40" s="188">
        <f t="shared" si="50"/>
        <v>72.614947966671281</v>
      </c>
      <c r="CY40" s="188">
        <f t="shared" si="62"/>
        <v>0.73358071266255409</v>
      </c>
    </row>
    <row r="41" spans="1:103" s="77" customFormat="1" ht="12.75" x14ac:dyDescent="0.2">
      <c r="A41" s="83" t="s">
        <v>133</v>
      </c>
      <c r="B41" s="80"/>
      <c r="C41" s="95"/>
      <c r="D41" s="110"/>
      <c r="E41" s="80"/>
      <c r="F41" s="104"/>
      <c r="G41" s="83" t="s">
        <v>133</v>
      </c>
      <c r="I41" s="73"/>
      <c r="J41" s="73"/>
      <c r="L41" s="157"/>
      <c r="M41" s="156"/>
      <c r="N41" s="156"/>
      <c r="O41" s="156"/>
      <c r="P41" s="156"/>
      <c r="Q41" s="156"/>
      <c r="R41" s="156"/>
      <c r="S41" s="156"/>
      <c r="T41" s="156"/>
      <c r="U41" s="157"/>
      <c r="V41" s="88"/>
      <c r="W41" s="88">
        <v>22</v>
      </c>
      <c r="X41" s="181">
        <f t="shared" si="3"/>
        <v>1.1333333333333337</v>
      </c>
      <c r="Y41" s="168">
        <f t="shared" si="51"/>
        <v>-1.1333333333333337</v>
      </c>
      <c r="Z41" s="178">
        <f t="shared" si="63"/>
        <v>2.8</v>
      </c>
      <c r="AA41" s="84">
        <f t="shared" si="52"/>
        <v>2.9333333333333331</v>
      </c>
      <c r="AB41" s="84">
        <f t="shared" si="53"/>
        <v>2.8666666666666663</v>
      </c>
      <c r="AC41" s="178">
        <f t="shared" si="4"/>
        <v>1.3360633333333332</v>
      </c>
      <c r="AD41" s="178">
        <f t="shared" si="5"/>
        <v>0.40749999999999997</v>
      </c>
      <c r="AE41" s="181">
        <f t="shared" si="6"/>
        <v>4.0083333333333329</v>
      </c>
      <c r="AF41" s="181">
        <f t="shared" si="65"/>
        <v>1.2692601666666663</v>
      </c>
      <c r="AG41" s="181">
        <f t="shared" si="65"/>
        <v>1.1356538333333335</v>
      </c>
      <c r="AH41" s="181">
        <f t="shared" si="65"/>
        <v>1.0020474999999998</v>
      </c>
      <c r="AI41" s="181">
        <f t="shared" si="65"/>
        <v>0.86844116666666649</v>
      </c>
      <c r="AJ41" s="181">
        <f t="shared" si="65"/>
        <v>0.73483483333333321</v>
      </c>
      <c r="AK41" s="181">
        <f t="shared" si="65"/>
        <v>0.60122849999999994</v>
      </c>
      <c r="AL41" s="181">
        <f t="shared" si="65"/>
        <v>0.46762216666666667</v>
      </c>
      <c r="AM41" s="181">
        <f t="shared" si="65"/>
        <v>0.3340158333333334</v>
      </c>
      <c r="AN41" s="181">
        <f t="shared" si="65"/>
        <v>0.20040950000000013</v>
      </c>
      <c r="AO41" s="181">
        <f t="shared" si="65"/>
        <v>6.6803166666666858E-2</v>
      </c>
      <c r="AP41" s="181">
        <f t="shared" si="65"/>
        <v>0</v>
      </c>
      <c r="AQ41" s="168">
        <f t="shared" si="54"/>
        <v>0.13360633333333333</v>
      </c>
      <c r="AR41" s="181">
        <f t="shared" si="55"/>
        <v>0.92856333333333319</v>
      </c>
      <c r="AS41" s="181">
        <f t="shared" si="8"/>
        <v>151.94361799307956</v>
      </c>
      <c r="AT41" s="181">
        <f t="shared" si="9"/>
        <v>121.6390736842106</v>
      </c>
      <c r="AU41" s="181">
        <f t="shared" si="10"/>
        <v>94.701700965215778</v>
      </c>
      <c r="AV41" s="181">
        <f t="shared" si="11"/>
        <v>71.131499836095415</v>
      </c>
      <c r="AW41" s="181">
        <f t="shared" si="12"/>
        <v>50.928470296849383</v>
      </c>
      <c r="AX41" s="181">
        <f t="shared" si="13"/>
        <v>34.092612347477697</v>
      </c>
      <c r="AY41" s="181">
        <f t="shared" si="14"/>
        <v>20.623925987980336</v>
      </c>
      <c r="AZ41" s="181">
        <f t="shared" si="15"/>
        <v>10.522411218357318</v>
      </c>
      <c r="BA41" s="181">
        <f t="shared" si="16"/>
        <v>3.7880680386086376</v>
      </c>
      <c r="BB41" s="181">
        <f t="shared" si="17"/>
        <v>0.42089644873429499</v>
      </c>
      <c r="BC41" s="181">
        <f t="shared" si="18"/>
        <v>0</v>
      </c>
      <c r="BD41" s="181">
        <f t="shared" si="19"/>
        <v>2.7067506231274732</v>
      </c>
      <c r="BE41" s="181">
        <f t="shared" si="20"/>
        <v>2.1669000833347378</v>
      </c>
      <c r="BF41" s="181">
        <f t="shared" si="21"/>
        <v>1.6870329368523032</v>
      </c>
      <c r="BG41" s="181">
        <f t="shared" si="22"/>
        <v>1.2671491836801745</v>
      </c>
      <c r="BH41" s="181">
        <f t="shared" si="23"/>
        <v>0.90724882381834981</v>
      </c>
      <c r="BI41" s="181">
        <f t="shared" si="24"/>
        <v>0.60733185726682948</v>
      </c>
      <c r="BJ41" s="181">
        <f t="shared" si="25"/>
        <v>0.36739828402561286</v>
      </c>
      <c r="BK41" s="181">
        <f t="shared" si="26"/>
        <v>0.1874481040947005</v>
      </c>
      <c r="BL41" s="181">
        <f t="shared" si="27"/>
        <v>6.7481317474092237E-2</v>
      </c>
      <c r="BM41" s="181">
        <f t="shared" si="28"/>
        <v>7.4979241637880608E-3</v>
      </c>
      <c r="BN41" s="181">
        <f t="shared" si="29"/>
        <v>0</v>
      </c>
      <c r="BO41" s="191">
        <f t="shared" si="56"/>
        <v>9.9722391378380628</v>
      </c>
      <c r="BP41" s="191">
        <f t="shared" si="30"/>
        <v>0.92218136592255628</v>
      </c>
      <c r="BQ41" s="191">
        <f t="shared" si="31"/>
        <v>0.44874442170783313</v>
      </c>
      <c r="BR41" s="191">
        <f t="shared" si="32"/>
        <v>0.12397020950381063</v>
      </c>
      <c r="BS41" s="191">
        <f t="shared" si="33"/>
        <v>-7.6183754412750104E-2</v>
      </c>
      <c r="BT41" s="191">
        <f t="shared" si="34"/>
        <v>-0.17575995376509315</v>
      </c>
      <c r="BU41" s="191">
        <f t="shared" si="35"/>
        <v>-0.19880087227646137</v>
      </c>
      <c r="BV41" s="191">
        <f t="shared" si="36"/>
        <v>-0.16934899367009731</v>
      </c>
      <c r="BW41" s="191">
        <f t="shared" si="37"/>
        <v>-0.11144680166924391</v>
      </c>
      <c r="BX41" s="191">
        <f t="shared" si="38"/>
        <v>-4.9136779997143894E-2</v>
      </c>
      <c r="BY41" s="191">
        <f t="shared" si="39"/>
        <v>-6.4614123770400239E-3</v>
      </c>
      <c r="BZ41" s="191">
        <f t="shared" si="40"/>
        <v>0</v>
      </c>
      <c r="CA41" s="191">
        <f t="shared" si="57"/>
        <v>0.70775742896637028</v>
      </c>
      <c r="CJ41" s="178">
        <f t="shared" si="41"/>
        <v>5.4333333333333331E-2</v>
      </c>
      <c r="CK41" s="181">
        <f t="shared" si="42"/>
        <v>0.12380844444444443</v>
      </c>
      <c r="CL41" s="182">
        <f t="shared" si="58"/>
        <v>5.4333333333333331E-2</v>
      </c>
      <c r="CM41" s="162">
        <f t="shared" si="59"/>
        <v>6.1904222222222215E-2</v>
      </c>
      <c r="CN41" s="181">
        <f t="shared" si="60"/>
        <v>0.11623755555555554</v>
      </c>
      <c r="CO41" s="180">
        <f t="shared" si="43"/>
        <v>8.0723170815332923E-2</v>
      </c>
      <c r="CP41" s="180">
        <f t="shared" si="44"/>
        <v>9.1971259594505E-2</v>
      </c>
      <c r="CQ41" s="180">
        <f t="shared" si="45"/>
        <v>0.17269443040983792</v>
      </c>
      <c r="CR41" s="183">
        <f t="shared" si="46"/>
        <v>1.6447346053624082E-2</v>
      </c>
      <c r="CS41" s="183">
        <f t="shared" si="47"/>
        <v>-2.8467046459979623E-2</v>
      </c>
      <c r="CT41" s="186">
        <f t="shared" si="61"/>
        <v>-1.2019700406355541E-2</v>
      </c>
      <c r="CU41" s="180">
        <f>SUM($CT$19:CT41)</f>
        <v>4.959506188584914E-3</v>
      </c>
      <c r="CV41" s="181">
        <f t="shared" si="48"/>
        <v>9.6915296634256265</v>
      </c>
      <c r="CW41" s="181">
        <f t="shared" si="49"/>
        <v>-0.67453989545135729</v>
      </c>
      <c r="CX41" s="188">
        <f t="shared" si="50"/>
        <v>74.791793533785466</v>
      </c>
      <c r="CY41" s="188">
        <f t="shared" si="62"/>
        <v>0.70775742896637028</v>
      </c>
    </row>
    <row r="42" spans="1:103" s="77" customFormat="1" ht="12.75" x14ac:dyDescent="0.2">
      <c r="A42" s="171" t="s">
        <v>134</v>
      </c>
      <c r="F42" s="104"/>
      <c r="G42" s="171" t="s">
        <v>134</v>
      </c>
      <c r="I42" s="73"/>
      <c r="J42" s="73"/>
      <c r="L42" s="157"/>
      <c r="M42" s="156"/>
      <c r="N42" s="156"/>
      <c r="O42" s="156"/>
      <c r="P42" s="156"/>
      <c r="Q42" s="156"/>
      <c r="R42" s="156"/>
      <c r="S42" s="156"/>
      <c r="T42" s="156"/>
      <c r="U42" s="157"/>
      <c r="V42" s="88"/>
      <c r="W42" s="88">
        <v>23</v>
      </c>
      <c r="X42" s="181">
        <f t="shared" si="3"/>
        <v>1</v>
      </c>
      <c r="Y42" s="168">
        <f t="shared" si="51"/>
        <v>-1</v>
      </c>
      <c r="Z42" s="178">
        <f t="shared" si="63"/>
        <v>2.9333333333333331</v>
      </c>
      <c r="AA42" s="84">
        <f t="shared" si="52"/>
        <v>3.0666666666666664</v>
      </c>
      <c r="AB42" s="84">
        <f t="shared" si="53"/>
        <v>3</v>
      </c>
      <c r="AC42" s="178">
        <f t="shared" si="4"/>
        <v>1.3749500000000001</v>
      </c>
      <c r="AD42" s="178">
        <f t="shared" si="5"/>
        <v>0.41249999999999998</v>
      </c>
      <c r="AE42" s="181">
        <f t="shared" si="6"/>
        <v>4.125</v>
      </c>
      <c r="AF42" s="181">
        <f t="shared" si="65"/>
        <v>1.3062025000000004</v>
      </c>
      <c r="AG42" s="181">
        <f t="shared" si="65"/>
        <v>1.1687075</v>
      </c>
      <c r="AH42" s="181">
        <f t="shared" si="65"/>
        <v>1.0312125000000001</v>
      </c>
      <c r="AI42" s="181">
        <f t="shared" si="65"/>
        <v>0.89371750000000016</v>
      </c>
      <c r="AJ42" s="181">
        <f t="shared" si="65"/>
        <v>0.75622250000000024</v>
      </c>
      <c r="AK42" s="181">
        <f t="shared" si="65"/>
        <v>0.61872750000000032</v>
      </c>
      <c r="AL42" s="181">
        <f t="shared" si="65"/>
        <v>0.48123249999999995</v>
      </c>
      <c r="AM42" s="181">
        <f t="shared" si="65"/>
        <v>0.34373750000000003</v>
      </c>
      <c r="AN42" s="181">
        <f t="shared" si="65"/>
        <v>0.20624250000000011</v>
      </c>
      <c r="AO42" s="181">
        <f t="shared" si="65"/>
        <v>6.8747499999999739E-2</v>
      </c>
      <c r="AP42" s="181">
        <f t="shared" si="65"/>
        <v>0</v>
      </c>
      <c r="AQ42" s="168">
        <f t="shared" si="54"/>
        <v>0.13749500000000001</v>
      </c>
      <c r="AR42" s="181">
        <f t="shared" si="55"/>
        <v>0.96245000000000014</v>
      </c>
      <c r="AS42" s="181">
        <f t="shared" si="8"/>
        <v>151.94361799307964</v>
      </c>
      <c r="AT42" s="181">
        <f t="shared" si="9"/>
        <v>121.63907368421052</v>
      </c>
      <c r="AU42" s="181">
        <f t="shared" si="10"/>
        <v>94.701700965215821</v>
      </c>
      <c r="AV42" s="181">
        <f t="shared" si="11"/>
        <v>71.131499836095443</v>
      </c>
      <c r="AW42" s="181">
        <f t="shared" si="12"/>
        <v>50.928470296849419</v>
      </c>
      <c r="AX42" s="181">
        <f t="shared" si="13"/>
        <v>34.092612347477719</v>
      </c>
      <c r="AY42" s="181">
        <f t="shared" si="14"/>
        <v>20.623925987980321</v>
      </c>
      <c r="AZ42" s="181">
        <f t="shared" si="15"/>
        <v>10.522411218357313</v>
      </c>
      <c r="BA42" s="181">
        <f t="shared" si="16"/>
        <v>3.7880680386086363</v>
      </c>
      <c r="BB42" s="181">
        <f t="shared" si="17"/>
        <v>0.42089644873428927</v>
      </c>
      <c r="BC42" s="181">
        <f t="shared" si="18"/>
        <v>0</v>
      </c>
      <c r="BD42" s="181">
        <f t="shared" si="19"/>
        <v>2.7855317007944649</v>
      </c>
      <c r="BE42" s="181">
        <f t="shared" si="20"/>
        <v>2.2299685914947367</v>
      </c>
      <c r="BF42" s="181">
        <f t="shared" si="21"/>
        <v>1.7361347165616465</v>
      </c>
      <c r="BG42" s="181">
        <f t="shared" si="22"/>
        <v>1.3040300759951924</v>
      </c>
      <c r="BH42" s="181">
        <f t="shared" si="23"/>
        <v>0.93365466979537481</v>
      </c>
      <c r="BI42" s="181">
        <f t="shared" si="24"/>
        <v>0.62500849796219315</v>
      </c>
      <c r="BJ42" s="181">
        <f t="shared" si="25"/>
        <v>0.37809156049564724</v>
      </c>
      <c r="BK42" s="181">
        <f t="shared" si="26"/>
        <v>0.19290385739573851</v>
      </c>
      <c r="BL42" s="181">
        <f t="shared" si="27"/>
        <v>6.9445388662465926E-2</v>
      </c>
      <c r="BM42" s="181">
        <f t="shared" si="28"/>
        <v>7.7161542958294809E-3</v>
      </c>
      <c r="BN42" s="181">
        <f t="shared" si="29"/>
        <v>0</v>
      </c>
      <c r="BO42" s="191">
        <f t="shared" si="56"/>
        <v>10.26248521345329</v>
      </c>
      <c r="BP42" s="191">
        <f t="shared" si="30"/>
        <v>0.95753348597735</v>
      </c>
      <c r="BQ42" s="191">
        <f t="shared" si="31"/>
        <v>0.45994774676022537</v>
      </c>
      <c r="BR42" s="191">
        <f t="shared" si="32"/>
        <v>0.11938096344757013</v>
      </c>
      <c r="BS42" s="191">
        <f t="shared" si="33"/>
        <v>-8.9629247198339521E-2</v>
      </c>
      <c r="BT42" s="191">
        <f t="shared" si="34"/>
        <v>-0.19254526841522557</v>
      </c>
      <c r="BU42" s="191">
        <f t="shared" si="35"/>
        <v>-0.21482948344080982</v>
      </c>
      <c r="BV42" s="191">
        <f t="shared" si="36"/>
        <v>-0.1819442755128142</v>
      </c>
      <c r="BW42" s="191">
        <f t="shared" si="37"/>
        <v>-0.11935202786896089</v>
      </c>
      <c r="BX42" s="191">
        <f t="shared" si="38"/>
        <v>-5.2515123746971704E-2</v>
      </c>
      <c r="BY42" s="191">
        <f t="shared" si="39"/>
        <v>-6.8959463845685498E-3</v>
      </c>
      <c r="BZ42" s="191">
        <f t="shared" si="40"/>
        <v>0</v>
      </c>
      <c r="CA42" s="191">
        <f t="shared" si="57"/>
        <v>0.67915082361745527</v>
      </c>
      <c r="CJ42" s="178">
        <f t="shared" si="41"/>
        <v>5.4999999999999993E-2</v>
      </c>
      <c r="CK42" s="181">
        <f t="shared" si="42"/>
        <v>0.12832666666666667</v>
      </c>
      <c r="CL42" s="182">
        <f t="shared" si="58"/>
        <v>5.4999999999999993E-2</v>
      </c>
      <c r="CM42" s="162">
        <f t="shared" si="59"/>
        <v>6.4163333333333336E-2</v>
      </c>
      <c r="CN42" s="181">
        <f t="shared" si="60"/>
        <v>0.11916333333333333</v>
      </c>
      <c r="CO42" s="180">
        <f t="shared" si="43"/>
        <v>8.1713639168895277E-2</v>
      </c>
      <c r="CP42" s="180">
        <f t="shared" si="44"/>
        <v>9.5327626688610029E-2</v>
      </c>
      <c r="CQ42" s="180">
        <f t="shared" si="45"/>
        <v>0.17704126585750532</v>
      </c>
      <c r="CR42" s="183">
        <f t="shared" si="46"/>
        <v>1.6853438078584651E-2</v>
      </c>
      <c r="CS42" s="183">
        <f t="shared" si="47"/>
        <v>-3.0582691435484245E-2</v>
      </c>
      <c r="CT42" s="186">
        <f t="shared" si="61"/>
        <v>-1.3729253356899594E-2</v>
      </c>
      <c r="CU42" s="180">
        <f>SUM($CT$19:CT42)</f>
        <v>-8.7697471683146795E-3</v>
      </c>
      <c r="CV42" s="181">
        <f t="shared" si="48"/>
        <v>9.9354720105130312</v>
      </c>
      <c r="CW42" s="181">
        <f t="shared" si="49"/>
        <v>-0.77047919755898708</v>
      </c>
      <c r="CX42" s="188">
        <f t="shared" si="50"/>
        <v>76.968639100899679</v>
      </c>
      <c r="CY42" s="188">
        <f t="shared" si="62"/>
        <v>0.67915082361745527</v>
      </c>
    </row>
    <row r="43" spans="1:103" s="77" customFormat="1" ht="12.75" x14ac:dyDescent="0.2">
      <c r="A43" s="172">
        <v>0.5</v>
      </c>
      <c r="B43" s="76"/>
      <c r="D43" s="73"/>
      <c r="E43" s="76"/>
      <c r="F43" s="104"/>
      <c r="G43" s="172">
        <v>1.6666000000000001</v>
      </c>
      <c r="I43" s="73"/>
      <c r="J43" s="87"/>
      <c r="L43" s="157"/>
      <c r="M43" s="156"/>
      <c r="N43" s="156"/>
      <c r="O43" s="156"/>
      <c r="P43" s="156"/>
      <c r="Q43" s="156"/>
      <c r="R43" s="156"/>
      <c r="S43" s="156"/>
      <c r="T43" s="156"/>
      <c r="U43" s="157"/>
      <c r="V43" s="88"/>
      <c r="W43" s="88">
        <v>24</v>
      </c>
      <c r="X43" s="181">
        <f t="shared" si="3"/>
        <v>0.86666666666666714</v>
      </c>
      <c r="Y43" s="168">
        <f t="shared" si="51"/>
        <v>-0.86666666666666714</v>
      </c>
      <c r="Z43" s="178">
        <f t="shared" si="63"/>
        <v>3.0666666666666664</v>
      </c>
      <c r="AA43" s="84">
        <f t="shared" si="52"/>
        <v>3.1999999999999997</v>
      </c>
      <c r="AB43" s="84">
        <f t="shared" si="53"/>
        <v>3.1333333333333329</v>
      </c>
      <c r="AC43" s="178">
        <f t="shared" si="4"/>
        <v>1.4138366666666666</v>
      </c>
      <c r="AD43" s="178">
        <f t="shared" si="5"/>
        <v>0.41749999999999998</v>
      </c>
      <c r="AE43" s="181">
        <f t="shared" si="6"/>
        <v>4.2416666666666663</v>
      </c>
      <c r="AF43" s="181">
        <f t="shared" si="65"/>
        <v>1.3431448333333336</v>
      </c>
      <c r="AG43" s="181">
        <f t="shared" si="65"/>
        <v>1.2017611666666665</v>
      </c>
      <c r="AH43" s="181">
        <f t="shared" si="65"/>
        <v>1.0603775</v>
      </c>
      <c r="AI43" s="181">
        <f t="shared" si="65"/>
        <v>0.9189938333333334</v>
      </c>
      <c r="AJ43" s="181">
        <f t="shared" si="65"/>
        <v>0.77761016666666682</v>
      </c>
      <c r="AK43" s="181">
        <f t="shared" si="65"/>
        <v>0.63622650000000025</v>
      </c>
      <c r="AL43" s="181">
        <f t="shared" si="65"/>
        <v>0.49484283333333323</v>
      </c>
      <c r="AM43" s="181">
        <f t="shared" si="65"/>
        <v>0.35345916666666666</v>
      </c>
      <c r="AN43" s="181">
        <f t="shared" si="65"/>
        <v>0.21207550000000008</v>
      </c>
      <c r="AO43" s="181">
        <f t="shared" si="65"/>
        <v>7.0691833333333065E-2</v>
      </c>
      <c r="AP43" s="181">
        <f t="shared" si="65"/>
        <v>0</v>
      </c>
      <c r="AQ43" s="168">
        <f t="shared" si="54"/>
        <v>0.14138366666666666</v>
      </c>
      <c r="AR43" s="181">
        <f t="shared" si="55"/>
        <v>0.99633666666666665</v>
      </c>
      <c r="AS43" s="181">
        <f t="shared" si="8"/>
        <v>151.94361799307964</v>
      </c>
      <c r="AT43" s="181">
        <f t="shared" si="9"/>
        <v>121.63907368421052</v>
      </c>
      <c r="AU43" s="181">
        <f t="shared" si="10"/>
        <v>94.701700965215821</v>
      </c>
      <c r="AV43" s="181">
        <f t="shared" si="11"/>
        <v>71.131499836095443</v>
      </c>
      <c r="AW43" s="181">
        <f t="shared" si="12"/>
        <v>50.928470296849419</v>
      </c>
      <c r="AX43" s="181">
        <f t="shared" si="13"/>
        <v>34.092612347477719</v>
      </c>
      <c r="AY43" s="181">
        <f t="shared" si="14"/>
        <v>20.623925987980321</v>
      </c>
      <c r="AZ43" s="181">
        <f t="shared" si="15"/>
        <v>10.522411218357313</v>
      </c>
      <c r="BA43" s="181">
        <f t="shared" si="16"/>
        <v>3.7880680386086354</v>
      </c>
      <c r="BB43" s="181">
        <f t="shared" si="17"/>
        <v>0.42089644873428927</v>
      </c>
      <c r="BC43" s="181">
        <f t="shared" si="18"/>
        <v>0</v>
      </c>
      <c r="BD43" s="181">
        <f t="shared" si="19"/>
        <v>2.8643127784614544</v>
      </c>
      <c r="BE43" s="181">
        <f t="shared" si="20"/>
        <v>2.2930370996547365</v>
      </c>
      <c r="BF43" s="181">
        <f t="shared" si="21"/>
        <v>1.785236496270989</v>
      </c>
      <c r="BG43" s="181">
        <f t="shared" si="22"/>
        <v>1.3409109683102096</v>
      </c>
      <c r="BH43" s="181">
        <f t="shared" si="23"/>
        <v>0.96006051577239893</v>
      </c>
      <c r="BI43" s="181">
        <f t="shared" si="24"/>
        <v>0.6426851386575565</v>
      </c>
      <c r="BJ43" s="181">
        <f t="shared" si="25"/>
        <v>0.38878483696568183</v>
      </c>
      <c r="BK43" s="181">
        <f t="shared" si="26"/>
        <v>0.19835961069677654</v>
      </c>
      <c r="BL43" s="181">
        <f t="shared" si="27"/>
        <v>7.1409459850839616E-2</v>
      </c>
      <c r="BM43" s="181">
        <f t="shared" si="28"/>
        <v>7.934384427871E-3</v>
      </c>
      <c r="BN43" s="181">
        <f t="shared" si="29"/>
        <v>0</v>
      </c>
      <c r="BO43" s="191">
        <f t="shared" si="56"/>
        <v>10.552731289068515</v>
      </c>
      <c r="BP43" s="191">
        <f t="shared" si="30"/>
        <v>0.99336706345812387</v>
      </c>
      <c r="BQ43" s="191">
        <f t="shared" si="31"/>
        <v>0.47104599967802419</v>
      </c>
      <c r="BR43" s="191">
        <f t="shared" si="32"/>
        <v>0.11432803291827434</v>
      </c>
      <c r="BS43" s="191">
        <f t="shared" si="33"/>
        <v>-0.10370985353685505</v>
      </c>
      <c r="BT43" s="191">
        <f t="shared" si="34"/>
        <v>-0.20999067640309144</v>
      </c>
      <c r="BU43" s="191">
        <f t="shared" si="35"/>
        <v>-0.23143745239616229</v>
      </c>
      <c r="BV43" s="191">
        <f t="shared" si="36"/>
        <v>-0.19497319823179485</v>
      </c>
      <c r="BW43" s="191">
        <f t="shared" si="37"/>
        <v>-0.12752093062571696</v>
      </c>
      <c r="BX43" s="191">
        <f t="shared" si="38"/>
        <v>-5.6003666293655961E-2</v>
      </c>
      <c r="BY43" s="191">
        <f t="shared" si="39"/>
        <v>-7.344421951339249E-3</v>
      </c>
      <c r="BZ43" s="191">
        <f t="shared" si="40"/>
        <v>0</v>
      </c>
      <c r="CA43" s="191">
        <f t="shared" si="57"/>
        <v>0.64776089661580671</v>
      </c>
      <c r="CJ43" s="178">
        <f t="shared" si="41"/>
        <v>5.5666666666666663E-2</v>
      </c>
      <c r="CK43" s="181">
        <f t="shared" si="42"/>
        <v>0.13284488888888887</v>
      </c>
      <c r="CL43" s="182">
        <f t="shared" si="58"/>
        <v>5.5666666666666663E-2</v>
      </c>
      <c r="CM43" s="162">
        <f t="shared" si="59"/>
        <v>6.6422444444444437E-2</v>
      </c>
      <c r="CN43" s="181">
        <f t="shared" si="60"/>
        <v>0.12208911111111109</v>
      </c>
      <c r="CO43" s="180">
        <f t="shared" si="43"/>
        <v>8.2704107522457646E-2</v>
      </c>
      <c r="CP43" s="180">
        <f t="shared" si="44"/>
        <v>9.8683993782715015E-2</v>
      </c>
      <c r="CQ43" s="180">
        <f t="shared" si="45"/>
        <v>0.18138810130517266</v>
      </c>
      <c r="CR43" s="183">
        <f t="shared" si="46"/>
        <v>1.7264482445313034E-2</v>
      </c>
      <c r="CS43" s="183">
        <f t="shared" si="47"/>
        <v>-3.277416047294144E-2</v>
      </c>
      <c r="CT43" s="186">
        <f t="shared" si="61"/>
        <v>-1.5509678027628405E-2</v>
      </c>
      <c r="CU43" s="180">
        <f>SUM($CT$19:CT43)</f>
        <v>-2.4279425195943085E-2</v>
      </c>
      <c r="CV43" s="181">
        <f t="shared" si="48"/>
        <v>10.179414357600434</v>
      </c>
      <c r="CW43" s="181">
        <f t="shared" si="49"/>
        <v>-0.8703957870454776</v>
      </c>
      <c r="CX43" s="188">
        <f t="shared" si="50"/>
        <v>79.145484668013864</v>
      </c>
      <c r="CY43" s="188">
        <f t="shared" si="62"/>
        <v>0.64776089661580671</v>
      </c>
    </row>
    <row r="44" spans="1:103" s="77" customFormat="1" ht="12.75" x14ac:dyDescent="0.2">
      <c r="A44" s="171" t="s">
        <v>136</v>
      </c>
      <c r="B44" s="80"/>
      <c r="C44" s="95"/>
      <c r="D44" s="110"/>
      <c r="E44" s="109"/>
      <c r="F44" s="104"/>
      <c r="G44" s="171" t="s">
        <v>136</v>
      </c>
      <c r="I44" s="73"/>
      <c r="J44" s="73"/>
      <c r="L44" s="157"/>
      <c r="M44" s="156"/>
      <c r="N44" s="156"/>
      <c r="O44" s="156"/>
      <c r="P44" s="156"/>
      <c r="Q44" s="156"/>
      <c r="R44" s="156"/>
      <c r="S44" s="156"/>
      <c r="T44" s="156"/>
      <c r="U44" s="157"/>
      <c r="V44" s="88"/>
      <c r="W44" s="88">
        <v>25</v>
      </c>
      <c r="X44" s="181">
        <f t="shared" si="3"/>
        <v>0.73333333333333339</v>
      </c>
      <c r="Y44" s="168">
        <f t="shared" si="51"/>
        <v>-0.73333333333333339</v>
      </c>
      <c r="Z44" s="178">
        <f t="shared" si="63"/>
        <v>3.1999999999999997</v>
      </c>
      <c r="AA44" s="84">
        <f t="shared" si="52"/>
        <v>3.333333333333333</v>
      </c>
      <c r="AB44" s="84">
        <f t="shared" si="53"/>
        <v>3.2666666666666666</v>
      </c>
      <c r="AC44" s="178">
        <f t="shared" si="4"/>
        <v>1.4527233333333334</v>
      </c>
      <c r="AD44" s="178">
        <f t="shared" si="5"/>
        <v>0.42249999999999999</v>
      </c>
      <c r="AE44" s="181">
        <f t="shared" si="6"/>
        <v>4.3583333333333334</v>
      </c>
      <c r="AF44" s="181">
        <f t="shared" si="65"/>
        <v>1.3800871666666668</v>
      </c>
      <c r="AG44" s="181">
        <f t="shared" si="65"/>
        <v>1.2348148333333331</v>
      </c>
      <c r="AH44" s="181">
        <f t="shared" si="65"/>
        <v>1.0895425000000003</v>
      </c>
      <c r="AI44" s="181">
        <f t="shared" si="65"/>
        <v>0.94427016666666663</v>
      </c>
      <c r="AJ44" s="181">
        <f t="shared" si="65"/>
        <v>0.79899783333333341</v>
      </c>
      <c r="AK44" s="181">
        <f t="shared" si="65"/>
        <v>0.65372550000000018</v>
      </c>
      <c r="AL44" s="181">
        <f t="shared" si="65"/>
        <v>0.50845316666666696</v>
      </c>
      <c r="AM44" s="181">
        <f t="shared" si="65"/>
        <v>0.36318083333333373</v>
      </c>
      <c r="AN44" s="181">
        <f t="shared" si="65"/>
        <v>0.21790850000000006</v>
      </c>
      <c r="AO44" s="181">
        <f t="shared" si="65"/>
        <v>7.2636166666666391E-2</v>
      </c>
      <c r="AP44" s="181">
        <f t="shared" si="65"/>
        <v>0</v>
      </c>
      <c r="AQ44" s="168">
        <f t="shared" si="54"/>
        <v>0.14527233333333334</v>
      </c>
      <c r="AR44" s="181">
        <f t="shared" si="55"/>
        <v>1.0302233333333333</v>
      </c>
      <c r="AS44" s="181">
        <f t="shared" si="8"/>
        <v>151.94361799307961</v>
      </c>
      <c r="AT44" s="181">
        <f t="shared" si="9"/>
        <v>121.63907368421046</v>
      </c>
      <c r="AU44" s="181">
        <f t="shared" si="10"/>
        <v>94.701700965215863</v>
      </c>
      <c r="AV44" s="181">
        <f t="shared" si="11"/>
        <v>71.131499836095415</v>
      </c>
      <c r="AW44" s="181">
        <f t="shared" si="12"/>
        <v>50.928470296849405</v>
      </c>
      <c r="AX44" s="181">
        <f t="shared" si="13"/>
        <v>34.092612347477711</v>
      </c>
      <c r="AY44" s="181">
        <f t="shared" si="14"/>
        <v>20.623925987980357</v>
      </c>
      <c r="AZ44" s="181">
        <f t="shared" si="15"/>
        <v>10.522411218357336</v>
      </c>
      <c r="BA44" s="181">
        <f t="shared" si="16"/>
        <v>3.7880680386086354</v>
      </c>
      <c r="BB44" s="181">
        <f t="shared" si="17"/>
        <v>0.42089644873428927</v>
      </c>
      <c r="BC44" s="181">
        <f t="shared" si="18"/>
        <v>0</v>
      </c>
      <c r="BD44" s="181">
        <f t="shared" si="19"/>
        <v>2.9430938561284434</v>
      </c>
      <c r="BE44" s="181">
        <f t="shared" si="20"/>
        <v>2.3561056078147358</v>
      </c>
      <c r="BF44" s="181">
        <f t="shared" si="21"/>
        <v>1.8343382759803326</v>
      </c>
      <c r="BG44" s="181">
        <f t="shared" si="22"/>
        <v>1.3777918606252264</v>
      </c>
      <c r="BH44" s="181">
        <f t="shared" si="23"/>
        <v>0.98646636174942304</v>
      </c>
      <c r="BI44" s="181">
        <f t="shared" si="24"/>
        <v>0.66036177935291973</v>
      </c>
      <c r="BJ44" s="181">
        <f t="shared" si="25"/>
        <v>0.39947811343571715</v>
      </c>
      <c r="BK44" s="181">
        <f t="shared" si="26"/>
        <v>0.20381536399781508</v>
      </c>
      <c r="BL44" s="181">
        <f t="shared" si="27"/>
        <v>7.3373531039213319E-2</v>
      </c>
      <c r="BM44" s="181">
        <f t="shared" si="28"/>
        <v>8.1526145599125216E-3</v>
      </c>
      <c r="BN44" s="181">
        <f t="shared" si="29"/>
        <v>0</v>
      </c>
      <c r="BO44" s="191">
        <f t="shared" si="56"/>
        <v>10.84297736468374</v>
      </c>
      <c r="BP44" s="191">
        <f t="shared" si="30"/>
        <v>1.0296820983648796</v>
      </c>
      <c r="BQ44" s="191">
        <f t="shared" si="31"/>
        <v>0.48203918046122807</v>
      </c>
      <c r="BR44" s="191">
        <f t="shared" si="32"/>
        <v>0.10881141791592402</v>
      </c>
      <c r="BS44" s="191">
        <f t="shared" si="33"/>
        <v>-0.11842557342829682</v>
      </c>
      <c r="BT44" s="191">
        <f t="shared" si="34"/>
        <v>-0.22809617772869109</v>
      </c>
      <c r="BU44" s="191">
        <f t="shared" si="35"/>
        <v>-0.24862477914251885</v>
      </c>
      <c r="BV44" s="191">
        <f t="shared" si="36"/>
        <v>-0.20843576182703957</v>
      </c>
      <c r="BW44" s="191">
        <f t="shared" si="37"/>
        <v>-0.13595350993951247</v>
      </c>
      <c r="BX44" s="191">
        <f t="shared" si="38"/>
        <v>-5.9602407637196715E-2</v>
      </c>
      <c r="BY44" s="191">
        <f t="shared" si="39"/>
        <v>-7.806839077352047E-3</v>
      </c>
      <c r="BZ44" s="191">
        <f t="shared" si="40"/>
        <v>0</v>
      </c>
      <c r="CA44" s="191">
        <f t="shared" si="57"/>
        <v>0.61358764796142395</v>
      </c>
      <c r="CJ44" s="178">
        <f t="shared" si="41"/>
        <v>5.6333333333333332E-2</v>
      </c>
      <c r="CK44" s="181">
        <f t="shared" si="42"/>
        <v>0.1373631111111111</v>
      </c>
      <c r="CL44" s="182">
        <f t="shared" si="58"/>
        <v>5.6333333333333332E-2</v>
      </c>
      <c r="CM44" s="162">
        <f t="shared" si="59"/>
        <v>6.8681555555555551E-2</v>
      </c>
      <c r="CN44" s="181">
        <f t="shared" si="60"/>
        <v>0.1250148888888889</v>
      </c>
      <c r="CO44" s="180">
        <f t="shared" si="43"/>
        <v>8.3694575876020028E-2</v>
      </c>
      <c r="CP44" s="180">
        <f t="shared" si="44"/>
        <v>0.10204036087682003</v>
      </c>
      <c r="CQ44" s="180">
        <f t="shared" si="45"/>
        <v>0.18573493675284009</v>
      </c>
      <c r="CR44" s="183">
        <f t="shared" si="46"/>
        <v>1.7680479153809232E-2</v>
      </c>
      <c r="CS44" s="183">
        <f t="shared" si="47"/>
        <v>-3.5041453572351257E-2</v>
      </c>
      <c r="CT44" s="186">
        <f t="shared" si="61"/>
        <v>-1.7360974418542025E-2</v>
      </c>
      <c r="CU44" s="180">
        <f>SUM($CT$19:CT44)</f>
        <v>-4.164039961448511E-2</v>
      </c>
      <c r="CV44" s="181">
        <f t="shared" si="48"/>
        <v>10.423356704687842</v>
      </c>
      <c r="CW44" s="181">
        <f t="shared" si="49"/>
        <v>-0.9742896639108316</v>
      </c>
      <c r="CX44" s="188">
        <f t="shared" si="50"/>
        <v>81.322330235128049</v>
      </c>
      <c r="CY44" s="188">
        <f t="shared" si="62"/>
        <v>0.61358764796142395</v>
      </c>
    </row>
    <row r="45" spans="1:103" s="77" customFormat="1" ht="12.75" x14ac:dyDescent="0.2">
      <c r="A45" s="73"/>
      <c r="F45" s="104"/>
      <c r="G45" s="73"/>
      <c r="I45" s="73"/>
      <c r="J45" s="83"/>
      <c r="K45" s="73"/>
      <c r="L45" s="157"/>
      <c r="M45" s="156"/>
      <c r="N45" s="156"/>
      <c r="O45" s="156"/>
      <c r="P45" s="156"/>
      <c r="Q45" s="156"/>
      <c r="R45" s="156"/>
      <c r="S45" s="156"/>
      <c r="T45" s="156"/>
      <c r="U45" s="157"/>
      <c r="V45" s="88"/>
      <c r="W45" s="88">
        <v>26</v>
      </c>
      <c r="X45" s="181">
        <f t="shared" si="3"/>
        <v>0.60000000000000053</v>
      </c>
      <c r="Y45" s="168">
        <f t="shared" si="51"/>
        <v>-0.60000000000000053</v>
      </c>
      <c r="Z45" s="178">
        <f t="shared" si="63"/>
        <v>3.333333333333333</v>
      </c>
      <c r="AA45" s="84">
        <f t="shared" si="52"/>
        <v>3.4666666666666663</v>
      </c>
      <c r="AB45" s="84">
        <f t="shared" si="53"/>
        <v>3.3999999999999995</v>
      </c>
      <c r="AC45" s="178">
        <f t="shared" si="4"/>
        <v>1.4916099999999999</v>
      </c>
      <c r="AD45" s="178">
        <f t="shared" si="5"/>
        <v>0.42749999999999999</v>
      </c>
      <c r="AE45" s="181">
        <f t="shared" si="6"/>
        <v>4.4749999999999996</v>
      </c>
      <c r="AF45" s="181">
        <f t="shared" si="65"/>
        <v>1.4170294999999999</v>
      </c>
      <c r="AG45" s="181">
        <f t="shared" si="65"/>
        <v>1.2678684999999996</v>
      </c>
      <c r="AH45" s="181">
        <f t="shared" si="65"/>
        <v>1.1187075000000002</v>
      </c>
      <c r="AI45" s="181">
        <f t="shared" si="65"/>
        <v>0.96954649999999987</v>
      </c>
      <c r="AJ45" s="181">
        <f t="shared" si="65"/>
        <v>0.82038549999999999</v>
      </c>
      <c r="AK45" s="181">
        <f t="shared" si="65"/>
        <v>0.67122450000000011</v>
      </c>
      <c r="AL45" s="181">
        <f t="shared" si="65"/>
        <v>0.52206350000000024</v>
      </c>
      <c r="AM45" s="181">
        <f t="shared" si="65"/>
        <v>0.37290250000000036</v>
      </c>
      <c r="AN45" s="181">
        <f t="shared" si="65"/>
        <v>0.22374150000000004</v>
      </c>
      <c r="AO45" s="181">
        <f t="shared" si="65"/>
        <v>7.4580499999999716E-2</v>
      </c>
      <c r="AP45" s="181">
        <f t="shared" si="65"/>
        <v>0</v>
      </c>
      <c r="AQ45" s="168">
        <f t="shared" si="54"/>
        <v>0.14916099999999999</v>
      </c>
      <c r="AR45" s="181">
        <f t="shared" si="55"/>
        <v>1.0641099999999999</v>
      </c>
      <c r="AS45" s="181">
        <f t="shared" si="8"/>
        <v>151.94361799307961</v>
      </c>
      <c r="AT45" s="181">
        <f t="shared" si="9"/>
        <v>121.6390736842105</v>
      </c>
      <c r="AU45" s="181">
        <f t="shared" si="10"/>
        <v>94.701700965215863</v>
      </c>
      <c r="AV45" s="181">
        <f t="shared" si="11"/>
        <v>71.131499836095415</v>
      </c>
      <c r="AW45" s="181">
        <f t="shared" si="12"/>
        <v>50.928470296849405</v>
      </c>
      <c r="AX45" s="181">
        <f t="shared" si="13"/>
        <v>34.092612347477711</v>
      </c>
      <c r="AY45" s="181">
        <f t="shared" si="14"/>
        <v>20.623925987980357</v>
      </c>
      <c r="AZ45" s="181">
        <f t="shared" si="15"/>
        <v>10.522411218357336</v>
      </c>
      <c r="BA45" s="181">
        <f t="shared" si="16"/>
        <v>3.7880680386086354</v>
      </c>
      <c r="BB45" s="181">
        <f t="shared" si="17"/>
        <v>0.42089644873428939</v>
      </c>
      <c r="BC45" s="181">
        <f t="shared" si="18"/>
        <v>0</v>
      </c>
      <c r="BD45" s="181">
        <f t="shared" si="19"/>
        <v>3.0218749337954329</v>
      </c>
      <c r="BE45" s="181">
        <f t="shared" si="20"/>
        <v>2.419174115974736</v>
      </c>
      <c r="BF45" s="181">
        <f t="shared" si="21"/>
        <v>1.8834400556896751</v>
      </c>
      <c r="BG45" s="181">
        <f t="shared" si="22"/>
        <v>1.4146727529402436</v>
      </c>
      <c r="BH45" s="181">
        <f t="shared" si="23"/>
        <v>1.0128722077264471</v>
      </c>
      <c r="BI45" s="181">
        <f t="shared" si="24"/>
        <v>0.67803842004828296</v>
      </c>
      <c r="BJ45" s="181">
        <f t="shared" si="25"/>
        <v>0.41017138990575169</v>
      </c>
      <c r="BK45" s="181">
        <f t="shared" si="26"/>
        <v>0.20927111729885312</v>
      </c>
      <c r="BL45" s="181">
        <f t="shared" si="27"/>
        <v>7.5337602227587022E-2</v>
      </c>
      <c r="BM45" s="181">
        <f t="shared" si="28"/>
        <v>8.370844691954045E-3</v>
      </c>
      <c r="BN45" s="181">
        <f t="shared" si="29"/>
        <v>0</v>
      </c>
      <c r="BO45" s="191">
        <f t="shared" si="56"/>
        <v>11.133223440298964</v>
      </c>
      <c r="BP45" s="191">
        <f t="shared" si="30"/>
        <v>1.0664785906976175</v>
      </c>
      <c r="BQ45" s="191">
        <f t="shared" si="31"/>
        <v>0.49292728910983757</v>
      </c>
      <c r="BR45" s="191">
        <f t="shared" si="32"/>
        <v>0.10283111844051759</v>
      </c>
      <c r="BS45" s="191">
        <f t="shared" si="33"/>
        <v>-0.13377640687266476</v>
      </c>
      <c r="BT45" s="191">
        <f t="shared" si="34"/>
        <v>-0.24686177239202436</v>
      </c>
      <c r="BU45" s="191">
        <f t="shared" si="35"/>
        <v>-0.26639146367987954</v>
      </c>
      <c r="BV45" s="191">
        <f t="shared" si="36"/>
        <v>-0.2223319662985479</v>
      </c>
      <c r="BW45" s="191">
        <f t="shared" si="37"/>
        <v>-0.14464976581034691</v>
      </c>
      <c r="BX45" s="191">
        <f t="shared" si="38"/>
        <v>-6.3311347777593951E-2</v>
      </c>
      <c r="BY45" s="191">
        <f t="shared" si="39"/>
        <v>-8.283197762606942E-3</v>
      </c>
      <c r="BZ45" s="191">
        <f t="shared" si="40"/>
        <v>0</v>
      </c>
      <c r="CA45" s="191">
        <f t="shared" si="57"/>
        <v>0.57663107765430799</v>
      </c>
      <c r="CJ45" s="178">
        <f t="shared" si="41"/>
        <v>5.6999999999999995E-2</v>
      </c>
      <c r="CK45" s="181">
        <f t="shared" si="42"/>
        <v>0.1418813333333333</v>
      </c>
      <c r="CL45" s="182">
        <f t="shared" si="58"/>
        <v>5.6999999999999995E-2</v>
      </c>
      <c r="CM45" s="162">
        <f t="shared" si="59"/>
        <v>7.0940666666666652E-2</v>
      </c>
      <c r="CN45" s="181">
        <f t="shared" si="60"/>
        <v>0.12794066666666665</v>
      </c>
      <c r="CO45" s="180">
        <f t="shared" si="43"/>
        <v>8.4685044229582382E-2</v>
      </c>
      <c r="CP45" s="180">
        <f t="shared" si="44"/>
        <v>0.10539672797092503</v>
      </c>
      <c r="CQ45" s="180">
        <f t="shared" si="45"/>
        <v>0.1900817722005074</v>
      </c>
      <c r="CR45" s="183">
        <f t="shared" si="46"/>
        <v>1.8101428204073233E-2</v>
      </c>
      <c r="CS45" s="183">
        <f t="shared" si="47"/>
        <v>-3.7384570733713679E-2</v>
      </c>
      <c r="CT45" s="186">
        <f t="shared" si="61"/>
        <v>-1.9283142529640446E-2</v>
      </c>
      <c r="CU45" s="180">
        <f>SUM($CT$19:CT45)</f>
        <v>-6.0923542144125556E-2</v>
      </c>
      <c r="CV45" s="181">
        <f t="shared" si="48"/>
        <v>10.667299051775244</v>
      </c>
      <c r="CW45" s="181">
        <f t="shared" si="49"/>
        <v>-1.0821608281550488</v>
      </c>
      <c r="CX45" s="188">
        <f t="shared" si="50"/>
        <v>83.499175802242235</v>
      </c>
      <c r="CY45" s="188">
        <f t="shared" si="62"/>
        <v>0.57663107765430799</v>
      </c>
    </row>
    <row r="46" spans="1:103" s="77" customFormat="1" ht="12.75" x14ac:dyDescent="0.2">
      <c r="A46" s="83" t="s">
        <v>197</v>
      </c>
      <c r="B46" s="76"/>
      <c r="D46" s="73"/>
      <c r="E46" s="76"/>
      <c r="F46" s="104"/>
      <c r="G46" s="110"/>
      <c r="I46" s="76"/>
      <c r="J46" s="113"/>
      <c r="L46" s="157"/>
      <c r="M46" s="156"/>
      <c r="N46" s="156"/>
      <c r="O46" s="156"/>
      <c r="P46" s="156"/>
      <c r="Q46" s="156"/>
      <c r="R46" s="156"/>
      <c r="S46" s="156"/>
      <c r="T46" s="156"/>
      <c r="U46" s="157"/>
      <c r="V46" s="88"/>
      <c r="W46" s="88">
        <v>27</v>
      </c>
      <c r="X46" s="181">
        <f t="shared" si="3"/>
        <v>0.46666666666666679</v>
      </c>
      <c r="Y46" s="168">
        <f t="shared" si="51"/>
        <v>-0.46666666666666679</v>
      </c>
      <c r="Z46" s="178">
        <f t="shared" si="63"/>
        <v>3.4666666666666663</v>
      </c>
      <c r="AA46" s="84">
        <f t="shared" si="52"/>
        <v>3.5999999999999996</v>
      </c>
      <c r="AB46" s="84">
        <f t="shared" si="53"/>
        <v>3.5333333333333332</v>
      </c>
      <c r="AC46" s="178">
        <f t="shared" si="4"/>
        <v>1.5304966666666666</v>
      </c>
      <c r="AD46" s="178">
        <f t="shared" si="5"/>
        <v>0.4325</v>
      </c>
      <c r="AE46" s="181">
        <f t="shared" si="6"/>
        <v>4.5916666666666668</v>
      </c>
      <c r="AF46" s="181">
        <f t="shared" si="65"/>
        <v>1.4539718333333331</v>
      </c>
      <c r="AG46" s="181">
        <f t="shared" si="65"/>
        <v>1.3009221666666666</v>
      </c>
      <c r="AH46" s="181">
        <f t="shared" si="65"/>
        <v>1.1478725000000001</v>
      </c>
      <c r="AI46" s="181">
        <f t="shared" si="65"/>
        <v>0.9948228333333331</v>
      </c>
      <c r="AJ46" s="181">
        <f t="shared" si="65"/>
        <v>0.84177316666666657</v>
      </c>
      <c r="AK46" s="181">
        <f t="shared" si="65"/>
        <v>0.68872350000000004</v>
      </c>
      <c r="AL46" s="181">
        <f t="shared" si="65"/>
        <v>0.53567383333333307</v>
      </c>
      <c r="AM46" s="181">
        <f t="shared" si="65"/>
        <v>0.38262416666666699</v>
      </c>
      <c r="AN46" s="181">
        <f t="shared" si="65"/>
        <v>0.22957450000000001</v>
      </c>
      <c r="AO46" s="181">
        <f t="shared" si="65"/>
        <v>7.652483333333393E-2</v>
      </c>
      <c r="AP46" s="181">
        <f t="shared" si="65"/>
        <v>0</v>
      </c>
      <c r="AQ46" s="168">
        <f t="shared" si="54"/>
        <v>0.15304966666666667</v>
      </c>
      <c r="AR46" s="181">
        <f t="shared" si="55"/>
        <v>1.0979966666666665</v>
      </c>
      <c r="AS46" s="181">
        <f t="shared" si="8"/>
        <v>151.94361799307956</v>
      </c>
      <c r="AT46" s="181">
        <f t="shared" si="9"/>
        <v>121.63907368421052</v>
      </c>
      <c r="AU46" s="181">
        <f t="shared" si="10"/>
        <v>94.701700965215849</v>
      </c>
      <c r="AV46" s="181">
        <f t="shared" si="11"/>
        <v>71.131499836095415</v>
      </c>
      <c r="AW46" s="181">
        <f t="shared" si="12"/>
        <v>50.928470296849383</v>
      </c>
      <c r="AX46" s="181">
        <f t="shared" si="13"/>
        <v>34.092612347477704</v>
      </c>
      <c r="AY46" s="181">
        <f t="shared" si="14"/>
        <v>20.623925987980314</v>
      </c>
      <c r="AZ46" s="181">
        <f t="shared" si="15"/>
        <v>10.522411218357332</v>
      </c>
      <c r="BA46" s="181">
        <f t="shared" si="16"/>
        <v>3.7880680386086336</v>
      </c>
      <c r="BB46" s="181">
        <f t="shared" si="17"/>
        <v>0.4208964487342991</v>
      </c>
      <c r="BC46" s="181">
        <f t="shared" si="18"/>
        <v>0</v>
      </c>
      <c r="BD46" s="181">
        <f t="shared" si="19"/>
        <v>3.1006560114624215</v>
      </c>
      <c r="BE46" s="181">
        <f t="shared" si="20"/>
        <v>2.4822426241347366</v>
      </c>
      <c r="BF46" s="181">
        <f t="shared" si="21"/>
        <v>1.9325418353990174</v>
      </c>
      <c r="BG46" s="181">
        <f t="shared" si="22"/>
        <v>1.4515536452552611</v>
      </c>
      <c r="BH46" s="181">
        <f t="shared" si="23"/>
        <v>1.0392780537034709</v>
      </c>
      <c r="BI46" s="181">
        <f t="shared" si="24"/>
        <v>0.69571506074364631</v>
      </c>
      <c r="BJ46" s="181">
        <f t="shared" si="25"/>
        <v>0.42086466637578551</v>
      </c>
      <c r="BK46" s="181">
        <f t="shared" si="26"/>
        <v>0.21472687059989115</v>
      </c>
      <c r="BL46" s="181">
        <f t="shared" si="27"/>
        <v>7.7301673415960684E-2</v>
      </c>
      <c r="BM46" s="181">
        <f t="shared" si="28"/>
        <v>8.5890748239957643E-3</v>
      </c>
      <c r="BN46" s="181">
        <f t="shared" si="29"/>
        <v>0</v>
      </c>
      <c r="BO46" s="191">
        <f t="shared" si="56"/>
        <v>11.423469515914189</v>
      </c>
      <c r="BP46" s="191">
        <f t="shared" si="30"/>
        <v>1.1037565404563372</v>
      </c>
      <c r="BQ46" s="191">
        <f t="shared" si="31"/>
        <v>0.50371032562385376</v>
      </c>
      <c r="BR46" s="191">
        <f t="shared" si="32"/>
        <v>9.6387134492055937E-2</v>
      </c>
      <c r="BS46" s="191">
        <f t="shared" si="33"/>
        <v>-0.14976235386995887</v>
      </c>
      <c r="BT46" s="191">
        <f t="shared" si="34"/>
        <v>-0.2662874603930912</v>
      </c>
      <c r="BU46" s="191">
        <f t="shared" si="35"/>
        <v>-0.28473750600824432</v>
      </c>
      <c r="BV46" s="191">
        <f t="shared" si="36"/>
        <v>-0.23666181164631983</v>
      </c>
      <c r="BW46" s="191">
        <f t="shared" si="37"/>
        <v>-0.15360969823822054</v>
      </c>
      <c r="BX46" s="191">
        <f t="shared" si="38"/>
        <v>-6.7130486714847629E-2</v>
      </c>
      <c r="BY46" s="191">
        <f t="shared" si="39"/>
        <v>-8.7734980071041239E-3</v>
      </c>
      <c r="BZ46" s="191">
        <f t="shared" si="40"/>
        <v>0</v>
      </c>
      <c r="CA46" s="191">
        <f t="shared" si="57"/>
        <v>0.53689118569446026</v>
      </c>
      <c r="CJ46" s="178">
        <f t="shared" si="41"/>
        <v>5.7666666666666665E-2</v>
      </c>
      <c r="CK46" s="181">
        <f t="shared" si="42"/>
        <v>0.14639955555555553</v>
      </c>
      <c r="CL46" s="182">
        <f t="shared" si="58"/>
        <v>5.7666666666666665E-2</v>
      </c>
      <c r="CM46" s="162">
        <f t="shared" si="59"/>
        <v>7.3199777777777766E-2</v>
      </c>
      <c r="CN46" s="181">
        <f t="shared" si="60"/>
        <v>0.13086644444444442</v>
      </c>
      <c r="CO46" s="180">
        <f t="shared" si="43"/>
        <v>8.567551258314475E-2</v>
      </c>
      <c r="CP46" s="180">
        <f t="shared" si="44"/>
        <v>0.10875309506503004</v>
      </c>
      <c r="CQ46" s="180">
        <f t="shared" si="45"/>
        <v>0.19442860764817479</v>
      </c>
      <c r="CR46" s="183">
        <f t="shared" si="46"/>
        <v>1.8527329596105053E-2</v>
      </c>
      <c r="CS46" s="183">
        <f t="shared" si="47"/>
        <v>-3.9803511957028692E-2</v>
      </c>
      <c r="CT46" s="186">
        <f t="shared" si="61"/>
        <v>-2.1276182360923639E-2</v>
      </c>
      <c r="CU46" s="180">
        <f>SUM($CT$19:CT46)</f>
        <v>-8.2199724505049199E-2</v>
      </c>
      <c r="CV46" s="181">
        <f t="shared" si="48"/>
        <v>10.91124139886265</v>
      </c>
      <c r="CW46" s="181">
        <f t="shared" si="49"/>
        <v>-1.1940092797781274</v>
      </c>
      <c r="CX46" s="188">
        <f t="shared" si="50"/>
        <v>85.67602136935642</v>
      </c>
      <c r="CY46" s="188">
        <f t="shared" si="62"/>
        <v>0.53689118569446026</v>
      </c>
    </row>
    <row r="47" spans="1:103" s="77" customFormat="1" ht="12.75" x14ac:dyDescent="0.2">
      <c r="A47" s="83" t="s">
        <v>133</v>
      </c>
      <c r="B47" s="80"/>
      <c r="C47" s="95"/>
      <c r="D47" s="110"/>
      <c r="E47" s="76"/>
      <c r="F47" s="111"/>
      <c r="G47" s="89" t="s">
        <v>248</v>
      </c>
      <c r="H47" s="83"/>
      <c r="I47" s="73"/>
      <c r="J47" s="73"/>
      <c r="L47" s="157"/>
      <c r="M47" s="156"/>
      <c r="N47" s="156"/>
      <c r="O47" s="156"/>
      <c r="P47" s="156"/>
      <c r="Q47" s="156"/>
      <c r="R47" s="156"/>
      <c r="S47" s="156"/>
      <c r="T47" s="156"/>
      <c r="U47" s="157"/>
      <c r="V47" s="88"/>
      <c r="W47" s="88">
        <v>28</v>
      </c>
      <c r="X47" s="181">
        <f t="shared" si="3"/>
        <v>0.33333333333333393</v>
      </c>
      <c r="Y47" s="168">
        <f t="shared" si="51"/>
        <v>-0.33333333333333393</v>
      </c>
      <c r="Z47" s="178">
        <f t="shared" si="63"/>
        <v>3.5999999999999996</v>
      </c>
      <c r="AA47" s="84">
        <f t="shared" si="52"/>
        <v>3.7333333333333329</v>
      </c>
      <c r="AB47" s="84">
        <f t="shared" si="53"/>
        <v>3.6666666666666661</v>
      </c>
      <c r="AC47" s="178">
        <f t="shared" si="4"/>
        <v>1.5693833333333331</v>
      </c>
      <c r="AD47" s="178">
        <f t="shared" si="5"/>
        <v>0.4375</v>
      </c>
      <c r="AE47" s="181">
        <f t="shared" si="6"/>
        <v>4.708333333333333</v>
      </c>
      <c r="AF47" s="181">
        <f t="shared" si="65"/>
        <v>1.4909141666666663</v>
      </c>
      <c r="AG47" s="181">
        <f t="shared" si="65"/>
        <v>1.3339758333333331</v>
      </c>
      <c r="AH47" s="181">
        <f t="shared" si="65"/>
        <v>1.1770375</v>
      </c>
      <c r="AI47" s="181">
        <f t="shared" si="65"/>
        <v>1.0200991666666663</v>
      </c>
      <c r="AJ47" s="181">
        <f t="shared" si="65"/>
        <v>0.86316083333333316</v>
      </c>
      <c r="AK47" s="181">
        <f t="shared" si="65"/>
        <v>0.70622249999999998</v>
      </c>
      <c r="AL47" s="181">
        <f t="shared" si="65"/>
        <v>0.54928416666666635</v>
      </c>
      <c r="AM47" s="181">
        <f t="shared" si="65"/>
        <v>0.39234583333333362</v>
      </c>
      <c r="AN47" s="181">
        <f t="shared" si="65"/>
        <v>0.23540749999999999</v>
      </c>
      <c r="AO47" s="181">
        <f t="shared" si="65"/>
        <v>7.8469166666667256E-2</v>
      </c>
      <c r="AP47" s="181">
        <f t="shared" si="65"/>
        <v>0</v>
      </c>
      <c r="AQ47" s="168">
        <f t="shared" si="54"/>
        <v>0.15693833333333332</v>
      </c>
      <c r="AR47" s="181">
        <f t="shared" si="55"/>
        <v>1.1318833333333331</v>
      </c>
      <c r="AS47" s="181">
        <f t="shared" si="8"/>
        <v>151.94361799307958</v>
      </c>
      <c r="AT47" s="181">
        <f t="shared" si="9"/>
        <v>121.63907368421052</v>
      </c>
      <c r="AU47" s="181">
        <f t="shared" si="10"/>
        <v>94.701700965215849</v>
      </c>
      <c r="AV47" s="181">
        <f t="shared" si="11"/>
        <v>71.131499836095415</v>
      </c>
      <c r="AW47" s="181">
        <f t="shared" si="12"/>
        <v>50.928470296849383</v>
      </c>
      <c r="AX47" s="181">
        <f t="shared" si="13"/>
        <v>34.092612347477704</v>
      </c>
      <c r="AY47" s="181">
        <f t="shared" si="14"/>
        <v>20.623925987980314</v>
      </c>
      <c r="AZ47" s="181">
        <f t="shared" si="15"/>
        <v>10.522411218357332</v>
      </c>
      <c r="BA47" s="181">
        <f t="shared" si="16"/>
        <v>3.7880680386086336</v>
      </c>
      <c r="BB47" s="181">
        <f t="shared" si="17"/>
        <v>0.42089644873429899</v>
      </c>
      <c r="BC47" s="181">
        <f t="shared" si="18"/>
        <v>0</v>
      </c>
      <c r="BD47" s="181">
        <f t="shared" si="19"/>
        <v>3.1794370891294115</v>
      </c>
      <c r="BE47" s="181">
        <f t="shared" si="20"/>
        <v>2.5453111322947364</v>
      </c>
      <c r="BF47" s="181">
        <f t="shared" si="21"/>
        <v>1.9816436151083598</v>
      </c>
      <c r="BG47" s="181">
        <f t="shared" si="22"/>
        <v>1.4884345375702783</v>
      </c>
      <c r="BH47" s="181">
        <f t="shared" si="23"/>
        <v>1.0656838996804952</v>
      </c>
      <c r="BI47" s="181">
        <f t="shared" si="24"/>
        <v>0.71339170143900954</v>
      </c>
      <c r="BJ47" s="181">
        <f t="shared" si="25"/>
        <v>0.43155794284582005</v>
      </c>
      <c r="BK47" s="181">
        <f t="shared" si="26"/>
        <v>0.22018262390092919</v>
      </c>
      <c r="BL47" s="181">
        <f t="shared" si="27"/>
        <v>7.9265744604334387E-2</v>
      </c>
      <c r="BM47" s="181">
        <f t="shared" si="28"/>
        <v>8.8073049560372877E-3</v>
      </c>
      <c r="BN47" s="181">
        <f t="shared" si="29"/>
        <v>0</v>
      </c>
      <c r="BO47" s="191">
        <f t="shared" si="56"/>
        <v>11.713715591529413</v>
      </c>
      <c r="BP47" s="191">
        <f t="shared" si="30"/>
        <v>1.1415159476410397</v>
      </c>
      <c r="BQ47" s="191">
        <f t="shared" si="31"/>
        <v>0.51438829000327402</v>
      </c>
      <c r="BR47" s="191">
        <f t="shared" si="32"/>
        <v>8.9479466070539054E-2</v>
      </c>
      <c r="BS47" s="191">
        <f t="shared" si="33"/>
        <v>-0.16638341442017912</v>
      </c>
      <c r="BT47" s="191">
        <f t="shared" si="34"/>
        <v>-0.28637324173189183</v>
      </c>
      <c r="BU47" s="191">
        <f t="shared" si="35"/>
        <v>-0.30366290612761321</v>
      </c>
      <c r="BV47" s="191">
        <f t="shared" si="36"/>
        <v>-0.25142529787035578</v>
      </c>
      <c r="BW47" s="191">
        <f t="shared" si="37"/>
        <v>-0.1628333072231333</v>
      </c>
      <c r="BX47" s="191">
        <f t="shared" si="38"/>
        <v>-7.1059824448957823E-2</v>
      </c>
      <c r="BY47" s="191">
        <f t="shared" si="39"/>
        <v>-9.2777398108432156E-3</v>
      </c>
      <c r="BZ47" s="191">
        <f t="shared" si="40"/>
        <v>0</v>
      </c>
      <c r="CA47" s="191">
        <f t="shared" si="57"/>
        <v>0.49436797208187855</v>
      </c>
      <c r="CJ47" s="178">
        <f t="shared" si="41"/>
        <v>5.8333333333333334E-2</v>
      </c>
      <c r="CK47" s="181">
        <f t="shared" si="42"/>
        <v>0.15091777777777776</v>
      </c>
      <c r="CL47" s="182">
        <f t="shared" si="58"/>
        <v>5.8333333333333334E-2</v>
      </c>
      <c r="CM47" s="162">
        <f t="shared" si="59"/>
        <v>7.5458888888888881E-2</v>
      </c>
      <c r="CN47" s="181">
        <f t="shared" si="60"/>
        <v>0.1337922222222222</v>
      </c>
      <c r="CO47" s="180">
        <f t="shared" si="43"/>
        <v>8.6665980936707132E-2</v>
      </c>
      <c r="CP47" s="180">
        <f t="shared" si="44"/>
        <v>0.11210946215913506</v>
      </c>
      <c r="CQ47" s="180">
        <f t="shared" si="45"/>
        <v>0.19877544309584216</v>
      </c>
      <c r="CR47" s="183">
        <f t="shared" si="46"/>
        <v>1.8958183329904683E-2</v>
      </c>
      <c r="CS47" s="183">
        <f t="shared" si="47"/>
        <v>-4.2298277242296324E-2</v>
      </c>
      <c r="CT47" s="186">
        <f t="shared" si="61"/>
        <v>-2.3340093912391641E-2</v>
      </c>
      <c r="CU47" s="180">
        <f>SUM($CT$19:CT47)</f>
        <v>-0.10553981841744084</v>
      </c>
      <c r="CV47" s="181">
        <f t="shared" si="48"/>
        <v>11.155183745950055</v>
      </c>
      <c r="CW47" s="181">
        <f t="shared" si="49"/>
        <v>-1.3098350187800694</v>
      </c>
      <c r="CX47" s="188">
        <f t="shared" si="50"/>
        <v>87.852866936470591</v>
      </c>
      <c r="CY47" s="188">
        <f t="shared" si="62"/>
        <v>0.49436797208187855</v>
      </c>
    </row>
    <row r="48" spans="1:103" s="77" customFormat="1" ht="12.75" x14ac:dyDescent="0.2">
      <c r="A48" s="172">
        <v>1.5</v>
      </c>
      <c r="B48" s="88"/>
      <c r="C48" s="80" t="s">
        <v>246</v>
      </c>
      <c r="D48" s="174">
        <f>F50/2</f>
        <v>4</v>
      </c>
      <c r="E48" s="73" t="s">
        <v>136</v>
      </c>
      <c r="G48" s="76" t="s">
        <v>245</v>
      </c>
      <c r="H48" s="174">
        <v>5</v>
      </c>
      <c r="I48" s="89" t="s">
        <v>136</v>
      </c>
      <c r="J48" s="73"/>
      <c r="L48" s="157"/>
      <c r="M48" s="156"/>
      <c r="N48" s="156"/>
      <c r="O48" s="156"/>
      <c r="P48" s="156"/>
      <c r="Q48" s="156"/>
      <c r="R48" s="156"/>
      <c r="S48" s="156"/>
      <c r="T48" s="156"/>
      <c r="U48" s="157"/>
      <c r="V48" s="88"/>
      <c r="W48" s="88">
        <v>29</v>
      </c>
      <c r="X48" s="181">
        <f t="shared" si="3"/>
        <v>0.20000000000000018</v>
      </c>
      <c r="Y48" s="168">
        <f t="shared" si="51"/>
        <v>-0.20000000000000018</v>
      </c>
      <c r="Z48" s="178">
        <f t="shared" si="63"/>
        <v>3.7333333333333329</v>
      </c>
      <c r="AA48" s="84">
        <f t="shared" si="52"/>
        <v>3.8666666666666663</v>
      </c>
      <c r="AB48" s="84">
        <f t="shared" si="53"/>
        <v>3.8</v>
      </c>
      <c r="AC48" s="178">
        <f t="shared" si="4"/>
        <v>1.6082700000000001</v>
      </c>
      <c r="AD48" s="178">
        <f t="shared" si="5"/>
        <v>0.4425</v>
      </c>
      <c r="AE48" s="181">
        <f t="shared" si="6"/>
        <v>4.8249999999999993</v>
      </c>
      <c r="AF48" s="181">
        <f t="shared" si="65"/>
        <v>1.5278565</v>
      </c>
      <c r="AG48" s="181">
        <f t="shared" si="65"/>
        <v>1.3670295000000001</v>
      </c>
      <c r="AH48" s="181">
        <f t="shared" si="65"/>
        <v>1.2062024999999998</v>
      </c>
      <c r="AI48" s="181">
        <f t="shared" si="65"/>
        <v>1.0453755</v>
      </c>
      <c r="AJ48" s="181">
        <f t="shared" si="65"/>
        <v>0.88454850000000018</v>
      </c>
      <c r="AK48" s="181">
        <f t="shared" si="65"/>
        <v>0.72372149999999991</v>
      </c>
      <c r="AL48" s="181">
        <f t="shared" si="65"/>
        <v>0.56289450000000052</v>
      </c>
      <c r="AM48" s="181">
        <f t="shared" si="65"/>
        <v>0.40206750000000024</v>
      </c>
      <c r="AN48" s="181">
        <f t="shared" si="65"/>
        <v>0.24124049999999997</v>
      </c>
      <c r="AO48" s="181">
        <f t="shared" si="65"/>
        <v>8.0413500000000582E-2</v>
      </c>
      <c r="AP48" s="181">
        <f t="shared" si="65"/>
        <v>0</v>
      </c>
      <c r="AQ48" s="168">
        <f t="shared" si="54"/>
        <v>0.160827</v>
      </c>
      <c r="AR48" s="181">
        <f t="shared" si="55"/>
        <v>1.1657700000000002</v>
      </c>
      <c r="AS48" s="181">
        <f t="shared" si="8"/>
        <v>151.94361799307958</v>
      </c>
      <c r="AT48" s="181">
        <f t="shared" si="9"/>
        <v>121.63907368421052</v>
      </c>
      <c r="AU48" s="181">
        <f t="shared" si="10"/>
        <v>94.701700965215778</v>
      </c>
      <c r="AV48" s="181">
        <f t="shared" si="11"/>
        <v>71.131499836095443</v>
      </c>
      <c r="AW48" s="181">
        <f t="shared" si="12"/>
        <v>50.928470296849405</v>
      </c>
      <c r="AX48" s="181">
        <f t="shared" si="13"/>
        <v>34.092612347477676</v>
      </c>
      <c r="AY48" s="181">
        <f t="shared" si="14"/>
        <v>20.623925987980371</v>
      </c>
      <c r="AZ48" s="181">
        <f t="shared" si="15"/>
        <v>10.522411218357322</v>
      </c>
      <c r="BA48" s="181">
        <f t="shared" si="16"/>
        <v>3.7880680386086305</v>
      </c>
      <c r="BB48" s="181">
        <f t="shared" si="17"/>
        <v>0.42089644873429849</v>
      </c>
      <c r="BC48" s="181">
        <f t="shared" si="18"/>
        <v>0</v>
      </c>
      <c r="BD48" s="181">
        <f t="shared" si="19"/>
        <v>3.2582181667964014</v>
      </c>
      <c r="BE48" s="181">
        <f t="shared" si="20"/>
        <v>2.6083796404547366</v>
      </c>
      <c r="BF48" s="181">
        <f t="shared" si="21"/>
        <v>2.0307453948177012</v>
      </c>
      <c r="BG48" s="181">
        <f t="shared" si="22"/>
        <v>1.5253154298852962</v>
      </c>
      <c r="BH48" s="181">
        <f t="shared" si="23"/>
        <v>1.0920897456575198</v>
      </c>
      <c r="BI48" s="181">
        <f t="shared" si="24"/>
        <v>0.73106834213437233</v>
      </c>
      <c r="BJ48" s="181">
        <f t="shared" si="25"/>
        <v>0.44225121931585587</v>
      </c>
      <c r="BK48" s="181">
        <f t="shared" si="26"/>
        <v>0.22563837720196706</v>
      </c>
      <c r="BL48" s="181">
        <f t="shared" si="27"/>
        <v>8.1229815792708035E-2</v>
      </c>
      <c r="BM48" s="181">
        <f t="shared" si="28"/>
        <v>9.0255350880788024E-3</v>
      </c>
      <c r="BN48" s="181">
        <f t="shared" si="29"/>
        <v>0</v>
      </c>
      <c r="BO48" s="191">
        <f t="shared" si="56"/>
        <v>12.003961667144639</v>
      </c>
      <c r="BP48" s="191">
        <f t="shared" si="30"/>
        <v>1.1797568122517244</v>
      </c>
      <c r="BQ48" s="191">
        <f t="shared" si="31"/>
        <v>0.52496118224809984</v>
      </c>
      <c r="BR48" s="191">
        <f t="shared" si="32"/>
        <v>8.2108113175965988E-2</v>
      </c>
      <c r="BS48" s="191">
        <f t="shared" si="33"/>
        <v>-0.18363958852332557</v>
      </c>
      <c r="BT48" s="191">
        <f t="shared" si="34"/>
        <v>-0.30711911640842621</v>
      </c>
      <c r="BU48" s="191">
        <f t="shared" si="35"/>
        <v>-0.3231676640379863</v>
      </c>
      <c r="BV48" s="191">
        <f t="shared" si="36"/>
        <v>-0.26662242497065614</v>
      </c>
      <c r="BW48" s="191">
        <f t="shared" si="37"/>
        <v>-0.17232059276508524</v>
      </c>
      <c r="BX48" s="191">
        <f t="shared" si="38"/>
        <v>-7.5099360979924479E-2</v>
      </c>
      <c r="BY48" s="191">
        <f t="shared" si="39"/>
        <v>-9.7959231738243974E-3</v>
      </c>
      <c r="BZ48" s="191">
        <f t="shared" si="40"/>
        <v>0</v>
      </c>
      <c r="CA48" s="191">
        <f t="shared" si="57"/>
        <v>0.44906143681656202</v>
      </c>
      <c r="CJ48" s="178">
        <f t="shared" si="41"/>
        <v>5.8999999999999997E-2</v>
      </c>
      <c r="CK48" s="181">
        <f t="shared" si="42"/>
        <v>0.15543600000000002</v>
      </c>
      <c r="CL48" s="182">
        <f t="shared" si="58"/>
        <v>5.8999999999999997E-2</v>
      </c>
      <c r="CM48" s="162">
        <f t="shared" si="59"/>
        <v>7.7718000000000009E-2</v>
      </c>
      <c r="CN48" s="181">
        <f t="shared" si="60"/>
        <v>0.13671800000000001</v>
      </c>
      <c r="CO48" s="180">
        <f t="shared" si="43"/>
        <v>8.7656449290269486E-2</v>
      </c>
      <c r="CP48" s="180">
        <f t="shared" si="44"/>
        <v>0.11546582925324009</v>
      </c>
      <c r="CQ48" s="180">
        <f t="shared" si="45"/>
        <v>0.20312227854350959</v>
      </c>
      <c r="CR48" s="183">
        <f t="shared" si="46"/>
        <v>1.9393989405472125E-2</v>
      </c>
      <c r="CS48" s="183">
        <f t="shared" si="47"/>
        <v>-4.4868866589516568E-2</v>
      </c>
      <c r="CT48" s="186">
        <f t="shared" si="61"/>
        <v>-2.5474877184044443E-2</v>
      </c>
      <c r="CU48" s="180">
        <f>SUM($CT$19:CT48)</f>
        <v>-0.13101469560148529</v>
      </c>
      <c r="CV48" s="181">
        <f t="shared" si="48"/>
        <v>11.399126093037463</v>
      </c>
      <c r="CW48" s="181">
        <f t="shared" si="49"/>
        <v>-1.4296380451608746</v>
      </c>
      <c r="CX48" s="188">
        <f t="shared" si="50"/>
        <v>90.02971250358479</v>
      </c>
      <c r="CY48" s="188">
        <f t="shared" si="62"/>
        <v>0.44906143681656202</v>
      </c>
    </row>
    <row r="49" spans="1:103" s="77" customFormat="1" ht="12.75" x14ac:dyDescent="0.2">
      <c r="A49" s="171" t="s">
        <v>136</v>
      </c>
      <c r="I49" s="73"/>
      <c r="J49" s="73"/>
      <c r="L49" s="157"/>
      <c r="M49" s="156"/>
      <c r="N49" s="156"/>
      <c r="O49" s="156"/>
      <c r="P49" s="156"/>
      <c r="Q49" s="156"/>
      <c r="R49" s="156"/>
      <c r="S49" s="156"/>
      <c r="T49" s="156"/>
      <c r="U49" s="157"/>
      <c r="V49" s="88"/>
      <c r="W49" s="88">
        <v>30</v>
      </c>
      <c r="X49" s="181">
        <f t="shared" si="3"/>
        <v>6.6666666666667318E-2</v>
      </c>
      <c r="Y49" s="168">
        <f t="shared" si="51"/>
        <v>-6.6666666666667318E-2</v>
      </c>
      <c r="Z49" s="178">
        <f t="shared" si="63"/>
        <v>3.8666666666666663</v>
      </c>
      <c r="AA49" s="84">
        <f t="shared" si="52"/>
        <v>3.9999999999999996</v>
      </c>
      <c r="AB49" s="84">
        <f t="shared" si="53"/>
        <v>3.9333333333333327</v>
      </c>
      <c r="AC49" s="178">
        <f t="shared" si="4"/>
        <v>1.6471566666666666</v>
      </c>
      <c r="AD49" s="178">
        <f t="shared" si="5"/>
        <v>0.44750000000000001</v>
      </c>
      <c r="AE49" s="181">
        <f t="shared" si="6"/>
        <v>4.9416666666666664</v>
      </c>
      <c r="AF49" s="181">
        <f t="shared" si="65"/>
        <v>1.5647988333333331</v>
      </c>
      <c r="AG49" s="181">
        <f t="shared" si="65"/>
        <v>1.4000831666666667</v>
      </c>
      <c r="AH49" s="181">
        <f t="shared" si="65"/>
        <v>1.2353674999999997</v>
      </c>
      <c r="AI49" s="181">
        <f t="shared" si="65"/>
        <v>1.0706518333333332</v>
      </c>
      <c r="AJ49" s="181">
        <f t="shared" si="65"/>
        <v>0.90593616666666676</v>
      </c>
      <c r="AK49" s="181">
        <f t="shared" si="65"/>
        <v>0.74122049999999984</v>
      </c>
      <c r="AL49" s="181">
        <f t="shared" si="65"/>
        <v>0.5765048333333338</v>
      </c>
      <c r="AM49" s="181">
        <f t="shared" si="65"/>
        <v>0.41178916666666687</v>
      </c>
      <c r="AN49" s="181">
        <f t="shared" si="65"/>
        <v>0.24707349999999995</v>
      </c>
      <c r="AO49" s="181">
        <f t="shared" si="65"/>
        <v>8.2357833333333907E-2</v>
      </c>
      <c r="AP49" s="181">
        <f t="shared" si="65"/>
        <v>0</v>
      </c>
      <c r="AQ49" s="168">
        <f t="shared" si="54"/>
        <v>0.16471566666666665</v>
      </c>
      <c r="AR49" s="181">
        <f t="shared" si="55"/>
        <v>1.1996566666666666</v>
      </c>
      <c r="AS49" s="181">
        <f t="shared" si="8"/>
        <v>151.94361799307958</v>
      </c>
      <c r="AT49" s="181">
        <f t="shared" si="9"/>
        <v>121.63907368421052</v>
      </c>
      <c r="AU49" s="181">
        <f t="shared" si="10"/>
        <v>94.701700965215778</v>
      </c>
      <c r="AV49" s="181">
        <f t="shared" si="11"/>
        <v>71.131499836095443</v>
      </c>
      <c r="AW49" s="181">
        <f t="shared" si="12"/>
        <v>50.928470296849405</v>
      </c>
      <c r="AX49" s="181">
        <f t="shared" si="13"/>
        <v>34.092612347477676</v>
      </c>
      <c r="AY49" s="181">
        <f t="shared" si="14"/>
        <v>20.623925987980371</v>
      </c>
      <c r="AZ49" s="181">
        <f t="shared" si="15"/>
        <v>10.522411218357322</v>
      </c>
      <c r="BA49" s="181">
        <f t="shared" si="16"/>
        <v>3.7880680386086305</v>
      </c>
      <c r="BB49" s="181">
        <f t="shared" si="17"/>
        <v>0.42089644873429843</v>
      </c>
      <c r="BC49" s="181">
        <f t="shared" si="18"/>
        <v>0</v>
      </c>
      <c r="BD49" s="181">
        <f t="shared" si="19"/>
        <v>3.3369992444633909</v>
      </c>
      <c r="BE49" s="181">
        <f t="shared" si="20"/>
        <v>2.6714481486147363</v>
      </c>
      <c r="BF49" s="181">
        <f t="shared" si="21"/>
        <v>2.0798471745270435</v>
      </c>
      <c r="BG49" s="181">
        <f t="shared" si="22"/>
        <v>1.5621963222003135</v>
      </c>
      <c r="BH49" s="181">
        <f t="shared" si="23"/>
        <v>1.118495591634544</v>
      </c>
      <c r="BI49" s="181">
        <f t="shared" si="24"/>
        <v>0.74874498282973556</v>
      </c>
      <c r="BJ49" s="181">
        <f t="shared" si="25"/>
        <v>0.45294449578589047</v>
      </c>
      <c r="BK49" s="181">
        <f t="shared" si="26"/>
        <v>0.23109413050300512</v>
      </c>
      <c r="BL49" s="181">
        <f t="shared" si="27"/>
        <v>8.3193886981081724E-2</v>
      </c>
      <c r="BM49" s="181">
        <f t="shared" si="28"/>
        <v>9.2437652201203275E-3</v>
      </c>
      <c r="BN49" s="181">
        <f t="shared" si="29"/>
        <v>0</v>
      </c>
      <c r="BO49" s="191">
        <f t="shared" si="56"/>
        <v>12.294207742759861</v>
      </c>
      <c r="BP49" s="191">
        <f t="shared" si="30"/>
        <v>1.2184791342883918</v>
      </c>
      <c r="BQ49" s="191">
        <f t="shared" si="31"/>
        <v>0.53542900235833157</v>
      </c>
      <c r="BR49" s="191">
        <f t="shared" si="32"/>
        <v>7.4273075808339084E-2</v>
      </c>
      <c r="BS49" s="191">
        <f t="shared" si="33"/>
        <v>-0.20153087617939774</v>
      </c>
      <c r="BT49" s="191">
        <f t="shared" si="34"/>
        <v>-0.3285250844226939</v>
      </c>
      <c r="BU49" s="191">
        <f t="shared" si="35"/>
        <v>-0.34325177973936322</v>
      </c>
      <c r="BV49" s="191">
        <f t="shared" si="36"/>
        <v>-0.28225319294721968</v>
      </c>
      <c r="BW49" s="191">
        <f t="shared" si="37"/>
        <v>-0.18207155486407631</v>
      </c>
      <c r="BX49" s="191">
        <f t="shared" si="38"/>
        <v>-7.9249096307747596E-2</v>
      </c>
      <c r="BY49" s="191">
        <f t="shared" si="39"/>
        <v>-1.032804809604768E-2</v>
      </c>
      <c r="BZ49" s="191">
        <f t="shared" si="40"/>
        <v>0</v>
      </c>
      <c r="CA49" s="191">
        <f t="shared" si="57"/>
        <v>0.40097157989851617</v>
      </c>
      <c r="CJ49" s="178">
        <f t="shared" si="41"/>
        <v>5.9666666666666666E-2</v>
      </c>
      <c r="CK49" s="181">
        <f t="shared" si="42"/>
        <v>0.15995422222222222</v>
      </c>
      <c r="CL49" s="182">
        <f t="shared" si="58"/>
        <v>5.9666666666666666E-2</v>
      </c>
      <c r="CM49" s="162">
        <f t="shared" si="59"/>
        <v>7.997711111111111E-2</v>
      </c>
      <c r="CN49" s="181">
        <f t="shared" si="60"/>
        <v>0.13964377777777778</v>
      </c>
      <c r="CO49" s="180">
        <f t="shared" si="43"/>
        <v>8.8646917643831855E-2</v>
      </c>
      <c r="CP49" s="180">
        <f t="shared" si="44"/>
        <v>0.11882219634734507</v>
      </c>
      <c r="CQ49" s="180">
        <f t="shared" si="45"/>
        <v>0.20746911399117696</v>
      </c>
      <c r="CR49" s="183">
        <f t="shared" si="46"/>
        <v>1.9834747822807378E-2</v>
      </c>
      <c r="CS49" s="183">
        <f t="shared" si="47"/>
        <v>-4.7515279998689389E-2</v>
      </c>
      <c r="CT49" s="186">
        <f t="shared" si="61"/>
        <v>-2.7680532175882011E-2</v>
      </c>
      <c r="CU49" s="180">
        <f>SUM($CT$19:CT49)</f>
        <v>-0.1586952277773673</v>
      </c>
      <c r="CV49" s="181">
        <f t="shared" si="48"/>
        <v>11.643068440124866</v>
      </c>
      <c r="CW49" s="181">
        <f t="shared" si="49"/>
        <v>-1.553418358920541</v>
      </c>
      <c r="CX49" s="188">
        <f t="shared" si="50"/>
        <v>92.206558070698961</v>
      </c>
      <c r="CY49" s="188">
        <f t="shared" si="62"/>
        <v>0.40097157989851617</v>
      </c>
    </row>
    <row r="50" spans="1:103" s="77" customFormat="1" ht="12.75" x14ac:dyDescent="0.2">
      <c r="B50" s="80"/>
      <c r="C50" s="95"/>
      <c r="D50" s="110"/>
      <c r="E50" s="80" t="s">
        <v>249</v>
      </c>
      <c r="F50" s="174">
        <v>8</v>
      </c>
      <c r="G50" s="73" t="s">
        <v>136</v>
      </c>
      <c r="I50" s="97"/>
      <c r="J50" s="73"/>
      <c r="K50" s="73"/>
      <c r="L50" s="157"/>
      <c r="M50" s="156"/>
      <c r="N50" s="156"/>
      <c r="O50" s="156"/>
      <c r="P50" s="156"/>
      <c r="Q50" s="156"/>
      <c r="R50" s="156"/>
      <c r="S50" s="156"/>
      <c r="T50" s="156"/>
      <c r="U50" s="157"/>
      <c r="V50" s="88"/>
      <c r="W50" s="88"/>
      <c r="Z50" s="157"/>
      <c r="AA50" s="83"/>
      <c r="AB50" s="160"/>
      <c r="AC50" s="165"/>
      <c r="AD50" s="160"/>
      <c r="BO50" s="191"/>
      <c r="BP50" s="191"/>
      <c r="BQ50" s="191"/>
      <c r="BR50" s="191"/>
      <c r="BS50" s="191"/>
      <c r="BT50" s="191"/>
      <c r="BU50" s="191"/>
      <c r="BV50" s="191"/>
      <c r="BW50" s="191"/>
      <c r="BX50" s="191"/>
      <c r="BY50" s="191"/>
      <c r="BZ50" s="191"/>
      <c r="CA50" s="191"/>
      <c r="CJ50" s="83"/>
      <c r="CK50" s="83"/>
      <c r="CL50" s="83"/>
      <c r="CM50" s="83"/>
      <c r="CP50" s="83"/>
      <c r="CQ50" s="83"/>
      <c r="CR50" s="73"/>
    </row>
    <row r="51" spans="1:103" s="77" customFormat="1" ht="12.75" x14ac:dyDescent="0.2">
      <c r="L51" s="157"/>
      <c r="M51" s="156"/>
      <c r="N51" s="156"/>
      <c r="O51" s="156"/>
      <c r="P51" s="156"/>
      <c r="Q51" s="156"/>
      <c r="R51" s="156"/>
      <c r="S51" s="156"/>
      <c r="T51" s="156"/>
      <c r="U51" s="157"/>
      <c r="V51" s="88"/>
      <c r="W51" s="88"/>
      <c r="Z51" s="157"/>
      <c r="AA51" s="83"/>
      <c r="AB51" s="73"/>
      <c r="AC51" s="164"/>
      <c r="AD51" s="76" t="s">
        <v>163</v>
      </c>
      <c r="AF51" s="168">
        <f>SUM(AF20:AP49)</f>
        <v>162.49500000000003</v>
      </c>
      <c r="BD51" s="168">
        <f>SUM(BD20:BN49)</f>
        <v>242.56918939017308</v>
      </c>
      <c r="BO51" s="191"/>
      <c r="BP51" s="191"/>
      <c r="BQ51" s="191"/>
      <c r="BR51" s="191"/>
      <c r="BS51" s="191"/>
      <c r="BT51" s="191"/>
      <c r="BU51" s="191"/>
      <c r="BV51" s="191"/>
      <c r="BW51" s="191"/>
      <c r="BX51" s="191"/>
      <c r="BY51" s="191"/>
      <c r="BZ51" s="191"/>
      <c r="CA51" s="191"/>
      <c r="CJ51" s="84">
        <f>SUM(CJ20:CJ49)</f>
        <v>1.5</v>
      </c>
      <c r="CK51" s="84">
        <f>SUM(CK20:CK49)</f>
        <v>2.8331999999999997</v>
      </c>
      <c r="CL51" s="83"/>
      <c r="CM51" s="83"/>
      <c r="CN51" s="184">
        <f>SUM(CN20:CN49)</f>
        <v>2.9165999999999999</v>
      </c>
      <c r="CO51" s="184"/>
      <c r="CP51" s="73"/>
      <c r="CQ51" s="184">
        <f>SUM(CQ20:CQ49)</f>
        <v>4.3331999999999997</v>
      </c>
      <c r="CT51" s="184">
        <f>SUM(CT20:CT49)</f>
        <v>-0.1586952277773673</v>
      </c>
      <c r="CV51" s="184">
        <f>SUM(CV20:CV49)</f>
        <v>243.17713222072479</v>
      </c>
      <c r="CW51" s="184">
        <f>SUM(CW20:CW49)</f>
        <v>-8.9059010403431387</v>
      </c>
    </row>
    <row r="52" spans="1:103" s="77" customFormat="1" ht="12.75" x14ac:dyDescent="0.2">
      <c r="B52" s="73" t="s">
        <v>242</v>
      </c>
      <c r="L52" s="157"/>
      <c r="M52" s="156"/>
      <c r="N52" s="156"/>
      <c r="O52" s="156"/>
      <c r="P52" s="156"/>
      <c r="Q52" s="156"/>
      <c r="R52" s="156"/>
      <c r="S52" s="156"/>
      <c r="T52" s="156"/>
      <c r="U52" s="157"/>
      <c r="V52" s="88"/>
      <c r="W52" s="88"/>
      <c r="Z52" s="157"/>
      <c r="AA52" s="73"/>
      <c r="AB52" s="73"/>
      <c r="AC52" s="73"/>
      <c r="AD52" s="73"/>
      <c r="BO52" s="191">
        <f>SUM(BO20:BO49)</f>
        <v>242.56918939017302</v>
      </c>
      <c r="BP52" s="191"/>
      <c r="BQ52" s="191"/>
      <c r="BR52" s="191"/>
      <c r="BS52" s="191"/>
      <c r="BT52" s="191"/>
      <c r="BU52" s="191"/>
      <c r="BV52" s="191"/>
      <c r="BW52" s="191"/>
      <c r="BX52" s="191"/>
      <c r="BY52" s="191"/>
      <c r="BZ52" s="191"/>
      <c r="CA52" s="191">
        <f>SUM(CA20:CA49)</f>
        <v>21.647949246209933</v>
      </c>
      <c r="CJ52" s="73"/>
      <c r="CK52" s="73"/>
      <c r="CL52" s="73"/>
      <c r="CM52" s="73"/>
      <c r="CN52" s="73"/>
      <c r="CO52" s="73"/>
      <c r="CP52" s="73"/>
      <c r="CV52" s="184"/>
    </row>
    <row r="53" spans="1:103" s="77" customFormat="1" ht="12.75" x14ac:dyDescent="0.2">
      <c r="C53" s="109" t="s">
        <v>192</v>
      </c>
      <c r="D53" s="77" t="str">
        <f>[1]!xln(D54)</f>
        <v>4 × (1.67 + 0.5) / 2</v>
      </c>
      <c r="E53" s="73"/>
      <c r="F53" s="73"/>
      <c r="H53" s="109" t="s">
        <v>250</v>
      </c>
      <c r="I53" s="77" t="str">
        <f>[1]!xln(I54)</f>
        <v>4.33 × 56.1</v>
      </c>
      <c r="K53" s="87"/>
      <c r="L53" s="157"/>
      <c r="M53" s="156"/>
      <c r="N53" s="156"/>
      <c r="O53" s="156"/>
      <c r="P53" s="156"/>
      <c r="Q53" s="156"/>
      <c r="R53" s="156"/>
      <c r="S53" s="156"/>
      <c r="T53" s="156"/>
      <c r="U53" s="157"/>
      <c r="V53" s="88"/>
      <c r="W53" s="88"/>
      <c r="Z53" s="157"/>
      <c r="CJ53" s="76" t="s">
        <v>164</v>
      </c>
      <c r="CK53" s="181">
        <f>CJ51+CK51</f>
        <v>4.3331999999999997</v>
      </c>
      <c r="CL53" s="171"/>
      <c r="CM53" s="171"/>
      <c r="CN53" s="171"/>
      <c r="CO53" s="171"/>
    </row>
    <row r="54" spans="1:103" s="77" customFormat="1" ht="12.75" x14ac:dyDescent="0.2">
      <c r="A54" s="73"/>
      <c r="C54" s="76" t="s">
        <v>82</v>
      </c>
      <c r="D54" s="78">
        <f>D48*(G43+A43)/2</f>
        <v>4.3331999999999997</v>
      </c>
      <c r="E54" s="113" t="s">
        <v>142</v>
      </c>
      <c r="F54" s="198"/>
      <c r="G54" s="161"/>
      <c r="H54" s="78"/>
      <c r="I54" s="170">
        <f>D54*C32</f>
        <v>243.17713222072481</v>
      </c>
      <c r="J54" s="197" t="s">
        <v>143</v>
      </c>
      <c r="K54" s="87"/>
      <c r="L54" s="157"/>
      <c r="M54" s="156"/>
      <c r="N54" s="156"/>
      <c r="O54" s="156"/>
      <c r="P54" s="156"/>
      <c r="Q54" s="156"/>
      <c r="R54" s="156"/>
      <c r="S54" s="156"/>
      <c r="T54" s="156"/>
      <c r="U54" s="157"/>
      <c r="V54" s="88"/>
      <c r="W54" s="88"/>
      <c r="Z54" s="157"/>
      <c r="AF54" s="168">
        <f t="shared" ref="AF54:AP54" si="66">SUM(AF20:AF49)</f>
        <v>30.87405</v>
      </c>
      <c r="AG54" s="168">
        <f t="shared" si="66"/>
        <v>27.62415</v>
      </c>
      <c r="AH54" s="168">
        <f t="shared" si="66"/>
        <v>24.37425</v>
      </c>
      <c r="AI54" s="168">
        <f t="shared" si="66"/>
        <v>21.124350000000003</v>
      </c>
      <c r="AJ54" s="168">
        <f t="shared" si="66"/>
        <v>17.87445</v>
      </c>
      <c r="AK54" s="168">
        <f t="shared" si="66"/>
        <v>14.624550000000003</v>
      </c>
      <c r="AL54" s="168">
        <f t="shared" si="66"/>
        <v>11.374650000000003</v>
      </c>
      <c r="AM54" s="168">
        <f t="shared" si="66"/>
        <v>8.1247500000000024</v>
      </c>
      <c r="AN54" s="168">
        <f t="shared" si="66"/>
        <v>4.8748500000000021</v>
      </c>
      <c r="AO54" s="168">
        <f t="shared" si="66"/>
        <v>1.6249500000000048</v>
      </c>
      <c r="AP54" s="168">
        <f t="shared" si="66"/>
        <v>0</v>
      </c>
      <c r="BD54" s="168">
        <f t="shared" ref="BD54:BN54" si="67">SUM(BD20:BD49)</f>
        <v>65.84020854876124</v>
      </c>
      <c r="BE54" s="168">
        <f t="shared" si="67"/>
        <v>52.7086434088421</v>
      </c>
      <c r="BF54" s="168">
        <f t="shared" si="67"/>
        <v>41.036141062247324</v>
      </c>
      <c r="BG54" s="168">
        <f t="shared" si="67"/>
        <v>30.822701508976873</v>
      </c>
      <c r="BH54" s="168">
        <f t="shared" si="67"/>
        <v>22.068324749030779</v>
      </c>
      <c r="BI54" s="168">
        <f t="shared" si="67"/>
        <v>14.77301078240904</v>
      </c>
      <c r="BJ54" s="168">
        <f t="shared" si="67"/>
        <v>8.9367596091116415</v>
      </c>
      <c r="BK54" s="168">
        <f t="shared" si="67"/>
        <v>4.5595712291385961</v>
      </c>
      <c r="BL54" s="168">
        <f t="shared" si="67"/>
        <v>1.6414456424898947</v>
      </c>
      <c r="BM54" s="168">
        <f t="shared" si="67"/>
        <v>0.1823828491655447</v>
      </c>
      <c r="BN54" s="168">
        <f t="shared" si="67"/>
        <v>0</v>
      </c>
      <c r="BO54" s="168">
        <f>SUM(BO20:BO49)</f>
        <v>242.56918939017302</v>
      </c>
    </row>
    <row r="55" spans="1:103" s="77" customFormat="1" ht="12.75" x14ac:dyDescent="0.2">
      <c r="A55" s="73"/>
      <c r="B55" s="109"/>
      <c r="D55" s="78"/>
      <c r="E55" s="78"/>
      <c r="F55" s="170"/>
      <c r="G55" s="158"/>
      <c r="H55" s="158"/>
      <c r="I55" s="113"/>
      <c r="J55" s="88"/>
      <c r="K55" s="87"/>
      <c r="L55" s="157"/>
      <c r="M55" s="156"/>
      <c r="N55" s="156"/>
      <c r="O55" s="156"/>
      <c r="P55" s="156"/>
      <c r="Q55" s="156"/>
      <c r="R55" s="156"/>
      <c r="S55" s="156"/>
      <c r="T55" s="156"/>
      <c r="U55" s="157"/>
      <c r="V55" s="166"/>
      <c r="W55" s="88"/>
      <c r="Z55" s="157"/>
    </row>
    <row r="56" spans="1:103" s="28" customFormat="1" ht="12.75" x14ac:dyDescent="0.2">
      <c r="A56" s="5"/>
      <c r="B56" s="89" t="s">
        <v>243</v>
      </c>
      <c r="D56" s="176"/>
      <c r="E56" s="176"/>
      <c r="F56" s="176"/>
      <c r="G56" s="42"/>
      <c r="H56" s="43"/>
      <c r="I56" s="43"/>
      <c r="J56" s="47"/>
      <c r="K56" s="47"/>
      <c r="L56" s="30"/>
      <c r="M56" s="27"/>
      <c r="N56" s="27"/>
      <c r="O56" s="27"/>
      <c r="P56" s="27"/>
      <c r="Q56" s="27"/>
      <c r="R56" s="27"/>
      <c r="S56" s="27"/>
      <c r="T56" s="27"/>
      <c r="U56" s="30"/>
      <c r="V56" s="5"/>
      <c r="W56" s="5"/>
      <c r="Z56" s="30"/>
    </row>
    <row r="57" spans="1:103" s="28" customFormat="1" ht="12.75" x14ac:dyDescent="0.2">
      <c r="A57" s="5"/>
      <c r="B57" s="76"/>
      <c r="C57" s="109" t="s">
        <v>192</v>
      </c>
      <c r="D57" s="158">
        <f>D54*2</f>
        <v>8.6663999999999994</v>
      </c>
      <c r="E57" s="113" t="s">
        <v>142</v>
      </c>
      <c r="F57" s="161"/>
      <c r="G57" s="42"/>
      <c r="H57" s="109" t="s">
        <v>250</v>
      </c>
      <c r="I57" s="158">
        <f>I54*2</f>
        <v>486.35426444144963</v>
      </c>
      <c r="J57" s="197" t="s">
        <v>143</v>
      </c>
      <c r="K57" s="47"/>
      <c r="L57" s="30"/>
      <c r="M57" s="27"/>
      <c r="N57" s="27"/>
      <c r="O57" s="27"/>
      <c r="P57" s="27"/>
      <c r="Q57" s="27"/>
      <c r="R57" s="27"/>
      <c r="S57" s="27"/>
      <c r="T57" s="27"/>
      <c r="U57" s="30"/>
      <c r="V57" s="5"/>
      <c r="W57" s="5"/>
      <c r="Y57" s="30"/>
    </row>
    <row r="58" spans="1:103" s="28" customFormat="1" ht="12.75" x14ac:dyDescent="0.2">
      <c r="A58" s="58"/>
      <c r="B58" s="59"/>
      <c r="C58" s="60"/>
      <c r="D58" s="58"/>
      <c r="E58" s="58"/>
      <c r="F58" s="58"/>
      <c r="G58" s="60"/>
      <c r="H58" s="58"/>
      <c r="I58" s="58"/>
      <c r="J58" s="58"/>
      <c r="K58" s="58"/>
      <c r="L58" s="30"/>
      <c r="M58" s="27"/>
      <c r="N58" s="27"/>
      <c r="O58" s="27"/>
      <c r="P58" s="27"/>
      <c r="Q58" s="27"/>
      <c r="R58" s="27"/>
      <c r="S58" s="27"/>
      <c r="T58" s="27"/>
      <c r="U58" s="30"/>
      <c r="V58" s="30"/>
      <c r="W58" s="30"/>
      <c r="X58" s="30"/>
    </row>
    <row r="59" spans="1:103" s="28" customFormat="1" ht="12.75" x14ac:dyDescent="0.2">
      <c r="A59" s="58"/>
      <c r="B59" s="59"/>
      <c r="C59" s="60"/>
      <c r="D59" s="58"/>
      <c r="E59" s="58"/>
      <c r="F59" s="58"/>
      <c r="G59" s="60"/>
      <c r="H59" s="58"/>
      <c r="I59" s="58"/>
      <c r="J59" s="58"/>
      <c r="K59" s="58"/>
      <c r="L59" s="30"/>
      <c r="M59" s="27"/>
      <c r="N59" s="27"/>
      <c r="O59" s="27"/>
      <c r="P59" s="27"/>
      <c r="Q59" s="27"/>
      <c r="R59" s="27"/>
      <c r="S59" s="27"/>
      <c r="T59" s="27"/>
      <c r="U59" s="30"/>
      <c r="V59" s="30"/>
      <c r="W59" s="30"/>
      <c r="X59" s="30"/>
    </row>
    <row r="60" spans="1:103" s="28" customFormat="1" ht="12.75" x14ac:dyDescent="0.2">
      <c r="A60" s="58"/>
      <c r="B60" s="59"/>
      <c r="C60" s="60"/>
      <c r="D60" s="58"/>
      <c r="E60" s="58"/>
      <c r="F60" s="58"/>
      <c r="G60" s="60"/>
      <c r="H60" s="58"/>
      <c r="I60" s="58"/>
      <c r="J60" s="58"/>
      <c r="K60" s="58"/>
      <c r="L60" s="30"/>
      <c r="M60" s="27"/>
      <c r="N60" s="27"/>
      <c r="O60" s="27"/>
      <c r="P60" s="27"/>
      <c r="Q60" s="27"/>
      <c r="R60" s="27"/>
      <c r="S60" s="27"/>
      <c r="T60" s="27"/>
      <c r="U60" s="30"/>
      <c r="V60" s="30"/>
      <c r="W60" s="30"/>
      <c r="X60" s="30"/>
    </row>
    <row r="61" spans="1:103" s="28" customFormat="1" ht="12.75" x14ac:dyDescent="0.2">
      <c r="A61" s="58"/>
      <c r="B61" s="59"/>
      <c r="C61" s="60"/>
      <c r="D61" s="58"/>
      <c r="E61" s="58"/>
      <c r="F61" s="58"/>
      <c r="G61" s="60"/>
      <c r="H61" s="58"/>
      <c r="I61" s="58"/>
      <c r="J61" s="58"/>
      <c r="K61" s="58"/>
      <c r="L61" s="30"/>
      <c r="M61" s="27"/>
      <c r="N61" s="27"/>
      <c r="O61" s="27"/>
      <c r="P61" s="27"/>
      <c r="Q61" s="27"/>
      <c r="R61" s="27"/>
      <c r="S61" s="27"/>
      <c r="T61" s="27"/>
      <c r="U61" s="30"/>
      <c r="V61" s="30"/>
      <c r="W61" s="30"/>
      <c r="X61" s="30"/>
    </row>
    <row r="62" spans="1:103" s="28" customFormat="1" ht="12.75" x14ac:dyDescent="0.2">
      <c r="A62" s="58"/>
      <c r="B62" s="59"/>
      <c r="C62" s="60"/>
      <c r="D62" s="58"/>
      <c r="E62" s="58"/>
      <c r="F62" s="58"/>
      <c r="G62" s="60"/>
      <c r="H62" s="58"/>
      <c r="I62" s="58"/>
      <c r="J62" s="58"/>
      <c r="K62" s="58"/>
      <c r="L62" s="30"/>
      <c r="M62" s="27"/>
      <c r="N62" s="27"/>
      <c r="O62" s="27"/>
      <c r="P62" s="27"/>
      <c r="Q62" s="27"/>
      <c r="R62" s="27"/>
      <c r="S62" s="27"/>
      <c r="T62" s="27"/>
      <c r="U62" s="30"/>
      <c r="V62" s="30"/>
      <c r="W62" s="30"/>
      <c r="X62" s="30"/>
    </row>
    <row r="63" spans="1:103" s="28" customFormat="1" ht="12.75" x14ac:dyDescent="0.2">
      <c r="A63" s="58"/>
      <c r="B63" s="59"/>
      <c r="C63" s="60"/>
      <c r="D63" s="58"/>
      <c r="E63" s="58"/>
      <c r="F63" s="58"/>
      <c r="G63" s="60"/>
      <c r="H63" s="58"/>
      <c r="I63" s="58"/>
      <c r="J63" s="58"/>
      <c r="K63" s="58"/>
      <c r="L63" s="30"/>
      <c r="M63" s="27"/>
      <c r="N63" s="27"/>
      <c r="O63" s="27"/>
      <c r="P63" s="27"/>
      <c r="Q63" s="27"/>
      <c r="R63" s="27"/>
      <c r="S63" s="27"/>
      <c r="T63" s="27"/>
      <c r="U63" s="30"/>
      <c r="V63" s="30"/>
      <c r="W63" s="30"/>
      <c r="X63" s="30"/>
    </row>
    <row r="64" spans="1:103" s="28" customFormat="1" ht="12.75" x14ac:dyDescent="0.2">
      <c r="A64" s="145" t="s">
        <v>118</v>
      </c>
      <c r="B64" s="146"/>
      <c r="C64" s="146"/>
      <c r="D64" s="146"/>
      <c r="E64" s="146"/>
      <c r="F64" s="146"/>
      <c r="G64" s="147"/>
      <c r="H64" s="147"/>
      <c r="I64" s="147"/>
      <c r="J64" s="147"/>
      <c r="K64" s="148"/>
      <c r="L64" s="30"/>
      <c r="M64" s="27"/>
      <c r="N64" s="27"/>
      <c r="O64" s="27"/>
      <c r="P64" s="27"/>
      <c r="Q64" s="27"/>
      <c r="R64" s="27"/>
      <c r="S64" s="27"/>
      <c r="T64" s="27"/>
      <c r="U64" s="30"/>
      <c r="V64" s="30"/>
      <c r="W64" s="30"/>
      <c r="X64" s="30"/>
    </row>
    <row r="65" spans="1:37" s="28" customFormat="1" ht="12.75" x14ac:dyDescent="0.2">
      <c r="A65" s="149"/>
      <c r="B65" s="149"/>
      <c r="C65" s="149"/>
      <c r="D65" s="150"/>
      <c r="E65" s="150"/>
      <c r="F65" s="151" t="s">
        <v>119</v>
      </c>
      <c r="G65" s="152" t="s">
        <v>120</v>
      </c>
      <c r="H65" s="153"/>
      <c r="I65" s="154"/>
      <c r="J65" s="154"/>
      <c r="K65" s="155"/>
      <c r="L65" s="30"/>
      <c r="M65" s="27"/>
      <c r="N65" s="27"/>
      <c r="O65" s="27"/>
      <c r="P65" s="27"/>
      <c r="Q65" s="27"/>
      <c r="R65" s="27"/>
      <c r="S65" s="27"/>
      <c r="T65" s="27"/>
      <c r="U65" s="30"/>
      <c r="V65" s="30"/>
      <c r="W65" s="30"/>
      <c r="X65" s="30"/>
    </row>
    <row r="66" spans="1:37" s="5" customFormat="1" ht="12.75" x14ac:dyDescent="0.2">
      <c r="A66" s="14"/>
      <c r="E66" s="7" t="s">
        <v>1</v>
      </c>
      <c r="F66" s="8" t="str">
        <f>$C$1</f>
        <v>R. Abbott</v>
      </c>
      <c r="H66" s="15"/>
      <c r="I66" s="7" t="s">
        <v>8</v>
      </c>
      <c r="J66" s="16" t="str">
        <f>$G$2</f>
        <v>AA-SM-515-000</v>
      </c>
      <c r="K66" s="17"/>
      <c r="L66" s="18"/>
      <c r="M66" s="9"/>
      <c r="N66" s="9"/>
      <c r="O66" s="9"/>
      <c r="P66" s="9"/>
      <c r="Q66" s="11"/>
      <c r="R66" s="12"/>
      <c r="S66" s="36"/>
      <c r="T66" s="35"/>
    </row>
    <row r="67" spans="1:37" s="5" customFormat="1" ht="12.75" x14ac:dyDescent="0.2">
      <c r="E67" s="7" t="s">
        <v>2</v>
      </c>
      <c r="F67" s="15" t="str">
        <f>$C$2</f>
        <v xml:space="preserve"> </v>
      </c>
      <c r="H67" s="15"/>
      <c r="I67" s="7" t="s">
        <v>9</v>
      </c>
      <c r="J67" s="17" t="str">
        <f>$G$3</f>
        <v>IR</v>
      </c>
      <c r="K67" s="17"/>
      <c r="L67" s="18"/>
      <c r="M67" s="9">
        <v>1</v>
      </c>
      <c r="N67" s="9"/>
      <c r="O67" s="9"/>
      <c r="P67" s="9"/>
      <c r="Q67" s="11"/>
      <c r="R67" s="12"/>
      <c r="S67" s="36"/>
      <c r="T67" s="35"/>
    </row>
    <row r="68" spans="1:37" s="5" customFormat="1" ht="12.75" x14ac:dyDescent="0.2">
      <c r="E68" s="7" t="s">
        <v>3</v>
      </c>
      <c r="F68" s="15" t="str">
        <f>$C$3</f>
        <v>05/03/2017</v>
      </c>
      <c r="H68" s="15"/>
      <c r="I68" s="7" t="s">
        <v>6</v>
      </c>
      <c r="J68" s="8" t="str">
        <f>L68&amp;" of "&amp;$G$1</f>
        <v>10 of 17</v>
      </c>
      <c r="K68" s="15"/>
      <c r="L68" s="18">
        <f>SUM($M$1:M67)</f>
        <v>10</v>
      </c>
      <c r="M68" s="9"/>
      <c r="N68" s="9"/>
      <c r="O68" s="9"/>
      <c r="P68" s="9"/>
      <c r="Q68" s="11"/>
      <c r="R68" s="12"/>
      <c r="S68" s="36"/>
      <c r="T68" s="35"/>
    </row>
    <row r="69" spans="1:37" s="5" customFormat="1" ht="12.75" x14ac:dyDescent="0.2">
      <c r="A69" s="26"/>
      <c r="B69" s="26"/>
      <c r="C69" s="26"/>
      <c r="D69" s="26"/>
      <c r="E69" s="7" t="s">
        <v>29</v>
      </c>
      <c r="F69" s="15" t="str">
        <f>$C$5</f>
        <v>STANDARD SPREADSHEET METHOD</v>
      </c>
      <c r="I69" s="19"/>
      <c r="J69" s="8"/>
      <c r="M69" s="9"/>
      <c r="N69" s="9"/>
      <c r="O69" s="9"/>
      <c r="P69" s="9"/>
      <c r="Q69" s="9"/>
      <c r="R69" s="9"/>
      <c r="S69" s="34"/>
      <c r="T69" s="35"/>
    </row>
    <row r="70" spans="1:37" s="28" customFormat="1" x14ac:dyDescent="0.25">
      <c r="A70" s="70"/>
      <c r="B70" s="21" t="str">
        <f>$G$4</f>
        <v>SIMPLIFIED PART 23 AIRCRAFT LOADS</v>
      </c>
      <c r="C70" s="71"/>
      <c r="D70" s="71"/>
      <c r="E70" s="72"/>
      <c r="F70" s="71"/>
      <c r="G70" s="71"/>
      <c r="H70" s="71"/>
      <c r="I70" s="71"/>
      <c r="J70" s="71"/>
      <c r="K70" s="71"/>
      <c r="L70" s="30"/>
      <c r="M70" s="37"/>
      <c r="N70" s="38"/>
      <c r="O70" s="38"/>
      <c r="P70" s="38"/>
      <c r="Q70" s="38"/>
      <c r="R70" s="37"/>
      <c r="S70" s="37"/>
      <c r="T70" s="39"/>
    </row>
    <row r="71" spans="1:37" s="26" customFormat="1" ht="12.75" x14ac:dyDescent="0.2">
      <c r="A71" s="73"/>
      <c r="B71" s="73" t="s">
        <v>47</v>
      </c>
      <c r="C71" s="73"/>
      <c r="D71" s="73"/>
      <c r="E71" s="73"/>
      <c r="F71" s="73"/>
      <c r="G71" s="73"/>
      <c r="H71" s="73"/>
      <c r="I71" s="73"/>
      <c r="J71" s="73"/>
      <c r="K71" s="73"/>
      <c r="L71" s="29"/>
      <c r="M71" s="27"/>
      <c r="N71" s="27"/>
      <c r="O71" s="27"/>
      <c r="P71" s="27"/>
      <c r="Q71" s="27"/>
      <c r="R71" s="27"/>
      <c r="S71" s="27"/>
      <c r="T71" s="27"/>
    </row>
    <row r="72" spans="1:37" s="26" customFormat="1" ht="12.75" x14ac:dyDescent="0.2">
      <c r="A72" s="73"/>
      <c r="B72" s="114" t="s">
        <v>189</v>
      </c>
      <c r="C72" s="73"/>
      <c r="D72" s="76"/>
      <c r="E72" s="73"/>
      <c r="F72" s="73"/>
      <c r="G72" s="77"/>
      <c r="H72" s="73"/>
      <c r="I72" s="73"/>
      <c r="J72" s="73"/>
      <c r="K72" s="73"/>
      <c r="M72" s="27"/>
      <c r="N72" s="27"/>
      <c r="O72" s="27"/>
      <c r="P72" s="27"/>
      <c r="Q72" s="27"/>
      <c r="R72" s="27"/>
      <c r="S72" s="27"/>
      <c r="T72" s="27"/>
    </row>
    <row r="73" spans="1:37" s="26" customFormat="1" ht="12.75" x14ac:dyDescent="0.2">
      <c r="B73" s="26" t="s">
        <v>186</v>
      </c>
      <c r="M73" s="27"/>
      <c r="N73" s="27"/>
      <c r="O73" s="27"/>
      <c r="P73" s="27"/>
      <c r="Q73" s="27"/>
      <c r="R73" s="27"/>
      <c r="S73" s="27"/>
      <c r="T73" s="27"/>
      <c r="V73" s="40"/>
      <c r="W73" s="40"/>
      <c r="Y73" s="5"/>
      <c r="Z73" s="5"/>
      <c r="AA73" s="5"/>
      <c r="AB73" s="5"/>
      <c r="AE73" s="7"/>
      <c r="AF73" s="5"/>
      <c r="AG73" s="5"/>
      <c r="AH73" s="5"/>
      <c r="AI73" s="5"/>
      <c r="AJ73" s="5"/>
      <c r="AK73" s="5"/>
    </row>
    <row r="74" spans="1:37" s="28" customFormat="1" ht="13.5" customHeight="1" x14ac:dyDescent="0.2">
      <c r="L74" s="30"/>
      <c r="M74" s="27"/>
      <c r="N74" s="27"/>
      <c r="O74" s="27"/>
      <c r="P74" s="27"/>
      <c r="Q74" s="27"/>
      <c r="R74" s="27"/>
      <c r="S74" s="27"/>
      <c r="T74" s="27"/>
      <c r="U74" s="30"/>
      <c r="V74" s="40"/>
      <c r="W74" s="40"/>
      <c r="X74" s="30"/>
      <c r="Y74" s="5"/>
      <c r="Z74" s="18"/>
      <c r="AA74" s="46"/>
      <c r="AB74" s="46"/>
      <c r="AE74" s="5"/>
      <c r="AF74" s="5"/>
      <c r="AG74" s="5"/>
      <c r="AH74" s="5"/>
      <c r="AI74" s="5"/>
      <c r="AJ74" s="5"/>
      <c r="AK74" s="5"/>
    </row>
    <row r="75" spans="1:37" s="28" customFormat="1" ht="12.75" x14ac:dyDescent="0.2">
      <c r="A75" s="135" t="s">
        <v>165</v>
      </c>
      <c r="E75" s="59" t="s">
        <v>194</v>
      </c>
      <c r="L75" s="30"/>
      <c r="M75" s="27"/>
      <c r="N75" s="27"/>
      <c r="O75" s="27"/>
      <c r="P75" s="27"/>
      <c r="Q75" s="27"/>
      <c r="R75" s="27"/>
      <c r="S75" s="27"/>
      <c r="T75" s="27"/>
      <c r="U75" s="30"/>
      <c r="V75" s="40"/>
      <c r="W75" s="40"/>
      <c r="X75" s="30"/>
      <c r="Y75" s="5"/>
      <c r="Z75" s="46"/>
      <c r="AA75" s="29"/>
      <c r="AB75" s="31"/>
      <c r="AE75" s="5"/>
      <c r="AF75" s="5"/>
      <c r="AG75" s="5"/>
      <c r="AH75" s="5"/>
      <c r="AI75" s="5"/>
      <c r="AJ75" s="5"/>
      <c r="AK75" s="5"/>
    </row>
    <row r="76" spans="1:37" s="28" customFormat="1" ht="12.75" x14ac:dyDescent="0.2">
      <c r="D76" s="135" t="s">
        <v>195</v>
      </c>
      <c r="L76" s="30"/>
      <c r="M76" s="27"/>
      <c r="N76" s="27"/>
      <c r="O76" s="27"/>
      <c r="P76" s="27"/>
      <c r="Q76" s="27"/>
      <c r="R76" s="27"/>
      <c r="S76" s="27"/>
      <c r="T76" s="27"/>
      <c r="U76" s="30"/>
      <c r="V76" s="40"/>
      <c r="W76" s="40"/>
      <c r="X76" s="30"/>
      <c r="Y76" s="5"/>
      <c r="Z76" s="46"/>
      <c r="AA76" s="29"/>
      <c r="AB76" s="31"/>
      <c r="AE76" s="47"/>
      <c r="AF76" s="5"/>
      <c r="AG76" s="48"/>
      <c r="AH76" s="47"/>
      <c r="AI76" s="47"/>
      <c r="AJ76" s="47"/>
      <c r="AK76" s="5"/>
    </row>
    <row r="77" spans="1:37" s="28" customFormat="1" ht="12.75" x14ac:dyDescent="0.2">
      <c r="C77" s="59" t="s">
        <v>199</v>
      </c>
      <c r="L77" s="30"/>
      <c r="M77" s="27"/>
      <c r="N77" s="27"/>
      <c r="O77" s="27"/>
      <c r="P77" s="27"/>
      <c r="Q77" s="27"/>
      <c r="R77" s="27"/>
      <c r="S77" s="27"/>
      <c r="T77" s="27"/>
      <c r="U77" s="30"/>
      <c r="V77" s="40"/>
      <c r="X77" s="121"/>
      <c r="Y77" s="122"/>
      <c r="Z77" s="123"/>
      <c r="AA77" s="124"/>
      <c r="AB77" s="124"/>
      <c r="AC77" s="123"/>
      <c r="AD77" s="47"/>
      <c r="AE77" s="47"/>
      <c r="AH77" s="47"/>
      <c r="AI77" s="23"/>
    </row>
    <row r="78" spans="1:37" s="28" customFormat="1" ht="12.75" x14ac:dyDescent="0.2">
      <c r="L78" s="30"/>
      <c r="M78" s="27"/>
      <c r="N78" s="27"/>
      <c r="O78" s="27"/>
      <c r="P78" s="27"/>
      <c r="Q78" s="27"/>
      <c r="R78" s="27"/>
      <c r="S78" s="27"/>
      <c r="T78" s="27"/>
      <c r="U78" s="30"/>
      <c r="V78" s="40"/>
      <c r="W78" s="40"/>
      <c r="X78" s="30"/>
      <c r="Y78" s="23"/>
      <c r="Z78" s="50"/>
      <c r="AA78" s="29"/>
      <c r="AB78" s="31"/>
      <c r="AC78" s="51"/>
      <c r="AD78" s="51"/>
      <c r="AE78" s="51"/>
      <c r="AG78" s="47"/>
      <c r="AH78" s="51"/>
      <c r="AI78" s="23"/>
    </row>
    <row r="79" spans="1:37" s="28" customFormat="1" ht="12.75" x14ac:dyDescent="0.2">
      <c r="L79" s="30"/>
      <c r="M79" s="27"/>
      <c r="N79" s="27"/>
      <c r="O79" s="27"/>
      <c r="P79" s="27"/>
      <c r="Q79" s="27"/>
      <c r="R79" s="27"/>
      <c r="S79" s="27"/>
      <c r="T79" s="27"/>
      <c r="U79" s="30"/>
      <c r="V79" s="40"/>
      <c r="W79" s="40"/>
      <c r="X79" s="5"/>
      <c r="Y79" s="5"/>
      <c r="Z79" s="5"/>
      <c r="AA79" s="5"/>
      <c r="AB79" s="5"/>
      <c r="AC79" s="5"/>
      <c r="AD79" s="5"/>
      <c r="AE79" s="5"/>
      <c r="AF79" s="5"/>
      <c r="AG79" s="5"/>
      <c r="AH79" s="5"/>
      <c r="AI79" s="5"/>
    </row>
    <row r="80" spans="1:37" s="28" customFormat="1" ht="12.75" x14ac:dyDescent="0.2">
      <c r="L80" s="30"/>
      <c r="M80" s="27"/>
      <c r="N80" s="27"/>
      <c r="O80" s="27"/>
      <c r="P80" s="27"/>
      <c r="Q80" s="27"/>
      <c r="R80" s="27"/>
      <c r="S80" s="27"/>
      <c r="T80" s="27"/>
      <c r="U80" s="30"/>
      <c r="V80" s="40"/>
      <c r="W80" s="40"/>
      <c r="X80" s="23"/>
      <c r="Y80" s="23"/>
      <c r="Z80" s="23"/>
      <c r="AA80" s="23"/>
      <c r="AB80" s="23"/>
      <c r="AC80" s="23"/>
      <c r="AD80" s="5"/>
      <c r="AE80" s="5"/>
      <c r="AF80" s="5"/>
      <c r="AG80" s="5"/>
      <c r="AH80" s="51"/>
      <c r="AI80" s="5"/>
    </row>
    <row r="81" spans="1:35" s="28" customFormat="1" ht="12.75" x14ac:dyDescent="0.2">
      <c r="F81" s="28" t="s">
        <v>185</v>
      </c>
      <c r="L81" s="30"/>
      <c r="M81" s="27"/>
      <c r="N81" s="27"/>
      <c r="O81" s="27"/>
      <c r="P81" s="27"/>
      <c r="Q81" s="27"/>
      <c r="R81" s="27"/>
      <c r="S81" s="27"/>
      <c r="T81" s="27"/>
      <c r="U81" s="30"/>
      <c r="V81" s="40"/>
      <c r="W81" s="40"/>
      <c r="X81" s="30"/>
      <c r="Y81" s="5"/>
      <c r="Z81" s="5"/>
      <c r="AA81" s="5"/>
      <c r="AB81" s="5"/>
      <c r="AC81" s="5"/>
      <c r="AD81" s="18"/>
      <c r="AE81" s="18"/>
      <c r="AF81" s="18"/>
      <c r="AG81" s="18"/>
      <c r="AH81" s="51"/>
      <c r="AI81" s="5"/>
    </row>
    <row r="82" spans="1:35" s="28" customFormat="1" ht="12.75" x14ac:dyDescent="0.2">
      <c r="L82" s="30"/>
      <c r="M82" s="27"/>
      <c r="N82" s="27"/>
      <c r="O82" s="27"/>
      <c r="P82" s="27"/>
      <c r="Q82" s="27"/>
      <c r="R82" s="27"/>
      <c r="S82" s="27"/>
      <c r="T82" s="27"/>
      <c r="U82" s="30"/>
      <c r="V82" s="40"/>
      <c r="W82" s="40"/>
      <c r="X82" s="30"/>
      <c r="Y82" s="5"/>
      <c r="Z82" s="5"/>
      <c r="AA82" s="5"/>
      <c r="AB82" s="5"/>
      <c r="AC82" s="5"/>
      <c r="AD82" s="18"/>
      <c r="AE82" s="18"/>
      <c r="AF82" s="49"/>
      <c r="AG82" s="18"/>
      <c r="AH82" s="51"/>
      <c r="AI82" s="5"/>
    </row>
    <row r="83" spans="1:35" s="28" customFormat="1" ht="12.75" x14ac:dyDescent="0.2">
      <c r="D83" s="28" t="s">
        <v>196</v>
      </c>
      <c r="L83" s="30"/>
      <c r="M83" s="27"/>
      <c r="N83" s="27"/>
      <c r="O83" s="27"/>
      <c r="P83" s="27"/>
      <c r="Q83" s="27"/>
      <c r="R83" s="27"/>
      <c r="S83" s="27"/>
      <c r="T83" s="27"/>
      <c r="U83" s="30"/>
      <c r="V83" s="40"/>
      <c r="W83" s="40"/>
      <c r="X83" s="30"/>
      <c r="Y83" s="5"/>
      <c r="Z83" s="5"/>
      <c r="AA83" s="5"/>
      <c r="AB83" s="5"/>
      <c r="AC83" s="5"/>
      <c r="AD83" s="18"/>
      <c r="AE83" s="18"/>
      <c r="AF83" s="18"/>
      <c r="AG83" s="18"/>
      <c r="AH83" s="5"/>
      <c r="AI83" s="5"/>
    </row>
    <row r="84" spans="1:35" s="28" customFormat="1" ht="12.75" x14ac:dyDescent="0.2">
      <c r="L84" s="30"/>
      <c r="M84" s="27"/>
      <c r="N84" s="27"/>
      <c r="O84" s="27"/>
      <c r="P84" s="27"/>
      <c r="Q84" s="27"/>
      <c r="R84" s="27"/>
      <c r="S84" s="27"/>
      <c r="T84" s="27"/>
      <c r="U84" s="30"/>
      <c r="V84" s="40"/>
      <c r="W84" s="40"/>
      <c r="X84" s="117"/>
      <c r="Y84" s="117"/>
      <c r="Z84" s="117"/>
      <c r="AA84" s="117"/>
      <c r="AB84" s="117"/>
      <c r="AC84" s="117"/>
      <c r="AD84" s="18"/>
      <c r="AE84" s="18"/>
      <c r="AF84" s="18"/>
      <c r="AG84" s="18"/>
      <c r="AH84" s="5"/>
      <c r="AI84" s="5"/>
    </row>
    <row r="85" spans="1:35" s="28" customFormat="1" ht="12.75" x14ac:dyDescent="0.2">
      <c r="L85" s="30"/>
      <c r="M85" s="27"/>
      <c r="N85" s="27"/>
      <c r="O85" s="27"/>
      <c r="P85" s="27"/>
      <c r="Q85" s="27"/>
      <c r="R85" s="27"/>
      <c r="S85" s="27"/>
      <c r="T85" s="27"/>
      <c r="U85" s="30"/>
      <c r="V85" s="40"/>
      <c r="W85" s="40"/>
      <c r="X85" s="117"/>
      <c r="Y85" s="117"/>
      <c r="Z85" s="117"/>
      <c r="AA85" s="117"/>
      <c r="AB85" s="117"/>
      <c r="AC85" s="117"/>
      <c r="AD85" s="18"/>
      <c r="AE85" s="40"/>
      <c r="AF85" s="117"/>
      <c r="AG85" s="117"/>
      <c r="AH85" s="5"/>
      <c r="AI85" s="5"/>
    </row>
    <row r="86" spans="1:35" s="28" customFormat="1" ht="12.75" x14ac:dyDescent="0.2">
      <c r="A86" s="73"/>
      <c r="B86" s="75" t="s">
        <v>184</v>
      </c>
      <c r="C86" s="73"/>
      <c r="D86" s="76"/>
      <c r="E86" s="73"/>
      <c r="F86" s="73"/>
      <c r="G86" s="73"/>
      <c r="H86" s="73"/>
      <c r="I86" s="73"/>
      <c r="J86" s="73"/>
      <c r="K86" s="73"/>
      <c r="L86" s="30"/>
      <c r="M86" s="27"/>
      <c r="N86" s="27"/>
      <c r="O86" s="27"/>
      <c r="P86" s="27"/>
      <c r="Q86" s="27"/>
      <c r="R86" s="27"/>
      <c r="S86" s="27"/>
      <c r="T86" s="27"/>
      <c r="U86" s="30"/>
      <c r="V86" s="40"/>
      <c r="W86" s="40"/>
      <c r="X86" s="117"/>
      <c r="Y86" s="117"/>
      <c r="Z86" s="117"/>
      <c r="AA86" s="117"/>
      <c r="AB86" s="117"/>
      <c r="AC86" s="117"/>
      <c r="AD86" s="18"/>
      <c r="AE86" s="51"/>
      <c r="AF86" s="54"/>
      <c r="AG86" s="51"/>
      <c r="AH86" s="51"/>
      <c r="AI86" s="23"/>
    </row>
    <row r="87" spans="1:35" s="28" customFormat="1" ht="12.75" x14ac:dyDescent="0.2">
      <c r="A87" s="73"/>
      <c r="B87" s="73"/>
      <c r="C87" s="73"/>
      <c r="D87" s="76"/>
      <c r="E87" s="73"/>
      <c r="F87" s="73"/>
      <c r="G87" s="73"/>
      <c r="H87" s="73"/>
      <c r="I87" s="73"/>
      <c r="J87" s="73"/>
      <c r="K87" s="73"/>
      <c r="L87" s="30"/>
      <c r="M87" s="27"/>
      <c r="N87" s="27"/>
      <c r="O87" s="27"/>
      <c r="P87" s="27"/>
      <c r="Q87" s="27"/>
      <c r="R87" s="27"/>
      <c r="S87" s="27"/>
      <c r="T87" s="27"/>
      <c r="U87" s="30"/>
      <c r="V87" s="40"/>
      <c r="W87" s="40"/>
      <c r="X87" s="117"/>
      <c r="Y87" s="117"/>
      <c r="Z87" s="117"/>
      <c r="AA87" s="117"/>
      <c r="AB87" s="117"/>
      <c r="AC87" s="117"/>
      <c r="AD87" s="18"/>
      <c r="AE87" s="45"/>
      <c r="AF87" s="45"/>
      <c r="AG87" s="45"/>
      <c r="AH87" s="45"/>
      <c r="AI87" s="44"/>
    </row>
    <row r="88" spans="1:35" s="28" customFormat="1" ht="12.75" x14ac:dyDescent="0.2">
      <c r="A88" s="77"/>
      <c r="B88" s="76"/>
      <c r="C88" s="76"/>
      <c r="D88" s="101"/>
      <c r="E88" s="77"/>
      <c r="F88" s="77"/>
      <c r="G88" s="77"/>
      <c r="H88" s="77"/>
      <c r="I88" s="77"/>
      <c r="J88" s="77"/>
      <c r="K88" s="77"/>
      <c r="L88" s="30"/>
      <c r="M88" s="27"/>
      <c r="N88" s="27"/>
      <c r="O88" s="27"/>
      <c r="P88" s="27"/>
      <c r="Q88" s="27"/>
      <c r="R88" s="27"/>
      <c r="S88" s="27"/>
      <c r="T88" s="27"/>
      <c r="U88" s="30"/>
      <c r="V88" s="40"/>
      <c r="W88" s="40"/>
      <c r="X88" s="117"/>
      <c r="Y88" s="117"/>
      <c r="Z88" s="117"/>
      <c r="AA88" s="117"/>
      <c r="AB88" s="117"/>
      <c r="AC88" s="117"/>
      <c r="AD88" s="18"/>
      <c r="AE88" s="45"/>
      <c r="AF88" s="45"/>
      <c r="AG88" s="45"/>
      <c r="AH88" s="45"/>
      <c r="AI88" s="44"/>
    </row>
    <row r="89" spans="1:35" s="28" customFormat="1" ht="12.75" x14ac:dyDescent="0.2">
      <c r="A89" s="73"/>
      <c r="B89" s="76"/>
      <c r="C89" s="158"/>
      <c r="D89" s="101"/>
      <c r="E89" s="73"/>
      <c r="F89" s="73"/>
      <c r="G89" s="73"/>
      <c r="H89" s="77"/>
      <c r="I89" s="77"/>
      <c r="J89" s="77"/>
      <c r="K89" s="73"/>
      <c r="L89" s="30"/>
      <c r="M89" s="27"/>
      <c r="N89" s="27"/>
      <c r="O89" s="27"/>
      <c r="P89" s="27"/>
      <c r="Q89" s="27"/>
      <c r="R89" s="27"/>
      <c r="S89" s="27"/>
      <c r="T89" s="27"/>
      <c r="U89" s="30"/>
      <c r="V89" s="40"/>
      <c r="W89" s="40"/>
      <c r="X89" s="117"/>
      <c r="Y89" s="117"/>
      <c r="Z89" s="117"/>
      <c r="AA89" s="117"/>
      <c r="AB89" s="117"/>
      <c r="AC89" s="117"/>
      <c r="AD89" s="18"/>
      <c r="AE89" s="45"/>
      <c r="AF89" s="45"/>
      <c r="AG89" s="45"/>
      <c r="AH89" s="45"/>
      <c r="AI89" s="44"/>
    </row>
    <row r="90" spans="1:35" s="28" customFormat="1" ht="12.75" x14ac:dyDescent="0.2">
      <c r="A90" s="73"/>
      <c r="B90" s="103"/>
      <c r="C90" s="104"/>
      <c r="D90" s="101"/>
      <c r="E90" s="73"/>
      <c r="F90" s="73"/>
      <c r="G90" s="73"/>
      <c r="H90" s="77"/>
      <c r="I90" s="77"/>
      <c r="J90" s="77"/>
      <c r="K90" s="73"/>
      <c r="L90" s="30"/>
      <c r="M90" s="27"/>
      <c r="N90" s="27"/>
      <c r="O90" s="27"/>
      <c r="P90" s="27"/>
      <c r="Q90" s="27"/>
      <c r="R90" s="27"/>
      <c r="S90" s="27"/>
      <c r="T90" s="27"/>
      <c r="U90" s="30"/>
      <c r="V90" s="40"/>
      <c r="W90" s="40"/>
      <c r="X90" s="117"/>
      <c r="Y90" s="117"/>
      <c r="Z90" s="117"/>
      <c r="AA90" s="117"/>
      <c r="AB90" s="117"/>
      <c r="AC90" s="117"/>
      <c r="AD90" s="18"/>
      <c r="AE90" s="45"/>
      <c r="AF90" s="45"/>
      <c r="AG90" s="45"/>
      <c r="AH90" s="45"/>
      <c r="AI90" s="44"/>
    </row>
    <row r="91" spans="1:35" s="28" customFormat="1" ht="12.75" x14ac:dyDescent="0.2">
      <c r="A91" s="79"/>
      <c r="B91" s="77"/>
      <c r="C91" s="77"/>
      <c r="D91" s="77"/>
      <c r="E91" s="77"/>
      <c r="F91" s="77"/>
      <c r="G91" s="77"/>
      <c r="H91" s="77"/>
      <c r="I91" s="73"/>
      <c r="J91" s="73"/>
      <c r="K91" s="73"/>
      <c r="L91" s="30"/>
      <c r="M91" s="27"/>
      <c r="N91" s="27"/>
      <c r="O91" s="27"/>
      <c r="P91" s="27"/>
      <c r="Q91" s="27"/>
      <c r="R91" s="27"/>
      <c r="S91" s="27"/>
      <c r="T91" s="27"/>
      <c r="U91" s="30"/>
      <c r="V91" s="40"/>
      <c r="W91" s="40"/>
      <c r="X91" s="117"/>
      <c r="Y91" s="117"/>
      <c r="Z91" s="117"/>
      <c r="AA91" s="117"/>
      <c r="AB91" s="117"/>
      <c r="AC91" s="117"/>
      <c r="AD91" s="18"/>
      <c r="AE91" s="40"/>
      <c r="AF91" s="117"/>
      <c r="AG91" s="117"/>
      <c r="AH91" s="45"/>
      <c r="AI91" s="44"/>
    </row>
    <row r="92" spans="1:35" s="28" customFormat="1" ht="12.75" x14ac:dyDescent="0.2">
      <c r="A92" s="77"/>
      <c r="B92" s="76"/>
      <c r="C92" s="76"/>
      <c r="D92" s="101"/>
      <c r="E92" s="77"/>
      <c r="F92" s="77"/>
      <c r="G92" s="77"/>
      <c r="H92" s="77"/>
      <c r="I92" s="77"/>
      <c r="J92" s="77"/>
      <c r="K92" s="77"/>
      <c r="L92" s="30"/>
      <c r="M92" s="27"/>
      <c r="N92" s="27"/>
      <c r="O92" s="27"/>
      <c r="P92" s="27"/>
      <c r="Q92" s="27"/>
      <c r="R92" s="27"/>
      <c r="S92" s="27"/>
      <c r="T92" s="27"/>
      <c r="U92" s="30"/>
      <c r="V92" s="40"/>
      <c r="W92" s="40"/>
      <c r="X92" s="117"/>
      <c r="Y92" s="117"/>
      <c r="Z92" s="117"/>
      <c r="AA92" s="117"/>
      <c r="AB92" s="117"/>
      <c r="AC92" s="117"/>
      <c r="AD92" s="18"/>
      <c r="AE92" s="43"/>
      <c r="AF92" s="54"/>
      <c r="AG92" s="42"/>
      <c r="AH92" s="5"/>
      <c r="AI92" s="5"/>
    </row>
    <row r="93" spans="1:35" s="28" customFormat="1" ht="12.75" x14ac:dyDescent="0.2">
      <c r="A93" s="77"/>
      <c r="B93" s="76"/>
      <c r="C93" s="158"/>
      <c r="D93" s="101"/>
      <c r="E93" s="77"/>
      <c r="F93" s="77"/>
      <c r="G93" s="77"/>
      <c r="H93" s="77"/>
      <c r="I93" s="77"/>
      <c r="J93" s="77"/>
      <c r="K93" s="77"/>
      <c r="L93" s="30"/>
      <c r="M93" s="27"/>
      <c r="N93" s="27"/>
      <c r="O93" s="27"/>
      <c r="P93" s="27"/>
      <c r="Q93" s="27"/>
      <c r="R93" s="27"/>
      <c r="S93" s="27"/>
      <c r="T93" s="27"/>
      <c r="U93" s="30"/>
      <c r="V93" s="40"/>
      <c r="W93" s="40"/>
      <c r="X93" s="117"/>
      <c r="Y93" s="117"/>
      <c r="Z93" s="117"/>
      <c r="AA93" s="117"/>
      <c r="AB93" s="117"/>
      <c r="AC93" s="117"/>
      <c r="AD93" s="18"/>
      <c r="AE93" s="41"/>
      <c r="AF93" s="41"/>
      <c r="AG93" s="41"/>
      <c r="AH93" s="41"/>
      <c r="AI93" s="41"/>
    </row>
    <row r="94" spans="1:35" s="28" customFormat="1" ht="12.75" x14ac:dyDescent="0.2">
      <c r="A94" s="77"/>
      <c r="B94" s="103"/>
      <c r="C94" s="104"/>
      <c r="D94" s="101"/>
      <c r="E94" s="77"/>
      <c r="F94" s="77"/>
      <c r="G94" s="77"/>
      <c r="H94" s="77"/>
      <c r="I94" s="77"/>
      <c r="J94" s="77"/>
      <c r="K94" s="77"/>
      <c r="L94" s="30"/>
      <c r="M94" s="27"/>
      <c r="N94" s="27"/>
      <c r="O94" s="27"/>
      <c r="P94" s="27"/>
      <c r="Q94" s="27"/>
      <c r="R94" s="27"/>
      <c r="S94" s="27"/>
      <c r="T94" s="27"/>
      <c r="U94" s="30"/>
      <c r="V94" s="40"/>
      <c r="W94" s="40"/>
      <c r="X94" s="117"/>
      <c r="Y94" s="117"/>
      <c r="Z94" s="117"/>
      <c r="AA94" s="117"/>
      <c r="AB94" s="117"/>
      <c r="AC94" s="117"/>
      <c r="AD94" s="18"/>
      <c r="AE94" s="41"/>
      <c r="AF94" s="49"/>
      <c r="AG94" s="49"/>
      <c r="AH94" s="41"/>
      <c r="AI94" s="41"/>
    </row>
    <row r="95" spans="1:35" s="28" customFormat="1" ht="12.75" x14ac:dyDescent="0.2">
      <c r="A95" s="77"/>
      <c r="B95" s="77"/>
      <c r="C95" s="77"/>
      <c r="D95" s="77"/>
      <c r="E95" s="77"/>
      <c r="F95" s="77"/>
      <c r="G95" s="77"/>
      <c r="H95" s="77"/>
      <c r="I95" s="77"/>
      <c r="J95" s="77"/>
      <c r="K95" s="77"/>
      <c r="L95" s="30"/>
      <c r="M95" s="27"/>
      <c r="N95" s="27"/>
      <c r="O95" s="27"/>
      <c r="P95" s="27"/>
      <c r="Q95" s="27"/>
      <c r="R95" s="27"/>
      <c r="S95" s="27"/>
      <c r="T95" s="27"/>
      <c r="U95" s="30"/>
      <c r="V95" s="40"/>
      <c r="W95" s="40"/>
      <c r="X95" s="117"/>
      <c r="Y95" s="117"/>
      <c r="Z95" s="117"/>
      <c r="AA95" s="117"/>
      <c r="AB95" s="117"/>
      <c r="AC95" s="117"/>
      <c r="AD95" s="18"/>
      <c r="AE95" s="41"/>
      <c r="AF95" s="49"/>
      <c r="AG95" s="49"/>
      <c r="AH95" s="41"/>
      <c r="AI95" s="41"/>
    </row>
    <row r="96" spans="1:35" s="28" customFormat="1" ht="12.75" x14ac:dyDescent="0.2">
      <c r="A96" s="77"/>
      <c r="B96" s="77"/>
      <c r="C96" s="77"/>
      <c r="D96" s="77"/>
      <c r="E96" s="77"/>
      <c r="F96" s="77"/>
      <c r="G96" s="77"/>
      <c r="H96" s="77"/>
      <c r="I96" s="77"/>
      <c r="J96" s="77"/>
      <c r="K96" s="77"/>
      <c r="L96" s="30"/>
      <c r="M96" s="27"/>
      <c r="N96" s="27"/>
      <c r="O96" s="27"/>
      <c r="P96" s="27"/>
      <c r="Q96" s="27"/>
      <c r="R96" s="27"/>
      <c r="S96" s="27"/>
      <c r="T96" s="27"/>
      <c r="U96" s="30"/>
      <c r="V96" s="40"/>
      <c r="W96" s="40"/>
      <c r="X96" s="117"/>
      <c r="Y96" s="117"/>
      <c r="Z96" s="117"/>
      <c r="AA96" s="117"/>
      <c r="AB96" s="117"/>
      <c r="AC96" s="117"/>
      <c r="AD96" s="18"/>
      <c r="AE96" s="41"/>
      <c r="AF96" s="49"/>
      <c r="AG96" s="49"/>
      <c r="AH96" s="41"/>
      <c r="AI96" s="41"/>
    </row>
    <row r="97" spans="1:35" s="28" customFormat="1" ht="12.75" x14ac:dyDescent="0.2">
      <c r="A97" s="79"/>
      <c r="B97" s="80"/>
      <c r="C97" s="77"/>
      <c r="D97" s="77"/>
      <c r="E97" s="73"/>
      <c r="F97" s="73"/>
      <c r="G97" s="73"/>
      <c r="H97" s="81"/>
      <c r="I97" s="77"/>
      <c r="J97" s="77"/>
      <c r="K97" s="73"/>
      <c r="L97" s="30"/>
      <c r="M97" s="27"/>
      <c r="N97" s="27"/>
      <c r="O97" s="27"/>
      <c r="P97" s="27"/>
      <c r="Q97" s="27"/>
      <c r="R97" s="27"/>
      <c r="S97" s="27"/>
      <c r="T97" s="27"/>
      <c r="U97" s="30"/>
      <c r="V97" s="40"/>
      <c r="W97" s="40"/>
      <c r="X97" s="117"/>
      <c r="Y97" s="117"/>
      <c r="Z97" s="117"/>
      <c r="AA97" s="117"/>
      <c r="AB97" s="117"/>
      <c r="AC97" s="117"/>
      <c r="AD97" s="18"/>
      <c r="AE97" s="41"/>
      <c r="AF97" s="49"/>
      <c r="AG97" s="49"/>
      <c r="AH97" s="41"/>
      <c r="AI97" s="41"/>
    </row>
    <row r="98" spans="1:35" s="28" customFormat="1" ht="12.75" x14ac:dyDescent="0.2">
      <c r="A98" s="79"/>
      <c r="B98" s="76"/>
      <c r="C98" s="78"/>
      <c r="D98" s="73"/>
      <c r="E98" s="73"/>
      <c r="F98" s="82"/>
      <c r="G98" s="73"/>
      <c r="H98" s="82"/>
      <c r="I98" s="77"/>
      <c r="J98" s="77"/>
      <c r="K98" s="73"/>
      <c r="L98" s="30"/>
      <c r="M98" s="27"/>
      <c r="N98" s="27"/>
      <c r="O98" s="27"/>
      <c r="P98" s="27"/>
      <c r="Q98" s="27"/>
      <c r="R98" s="27"/>
      <c r="S98" s="27"/>
      <c r="T98" s="27"/>
      <c r="U98" s="30"/>
      <c r="V98" s="40"/>
      <c r="W98" s="40"/>
      <c r="X98" s="117"/>
      <c r="Y98" s="117"/>
      <c r="Z98" s="117"/>
      <c r="AA98" s="117"/>
      <c r="AB98" s="117"/>
      <c r="AC98" s="117"/>
      <c r="AD98" s="18"/>
      <c r="AE98" s="5"/>
      <c r="AF98" s="49"/>
      <c r="AG98" s="49"/>
      <c r="AH98" s="5"/>
      <c r="AI98" s="5"/>
    </row>
    <row r="99" spans="1:35" s="28" customFormat="1" ht="12.75" x14ac:dyDescent="0.2">
      <c r="A99" s="73"/>
      <c r="B99" s="76"/>
      <c r="C99" s="73"/>
      <c r="D99" s="73"/>
      <c r="E99" s="73"/>
      <c r="F99" s="82"/>
      <c r="G99" s="73"/>
      <c r="H99" s="82"/>
      <c r="I99" s="77"/>
      <c r="J99" s="77"/>
      <c r="K99" s="73"/>
      <c r="L99" s="30"/>
      <c r="M99" s="27"/>
      <c r="N99" s="27"/>
      <c r="O99" s="27"/>
      <c r="P99" s="27"/>
      <c r="Q99" s="27"/>
      <c r="R99" s="27"/>
      <c r="S99" s="27"/>
      <c r="T99" s="27"/>
      <c r="U99" s="30"/>
      <c r="V99" s="40"/>
      <c r="W99" s="40"/>
      <c r="X99" s="117"/>
      <c r="Y99" s="117"/>
      <c r="Z99" s="117"/>
      <c r="AA99" s="117"/>
      <c r="AB99" s="117"/>
      <c r="AC99" s="117"/>
      <c r="AD99" s="18"/>
      <c r="AE99" s="5"/>
      <c r="AF99" s="49"/>
      <c r="AG99" s="49"/>
      <c r="AH99" s="5"/>
      <c r="AI99" s="51"/>
    </row>
    <row r="100" spans="1:35" s="28" customFormat="1" ht="12.75" x14ac:dyDescent="0.2">
      <c r="A100" s="79"/>
      <c r="B100" s="80"/>
      <c r="C100" s="81"/>
      <c r="D100" s="73"/>
      <c r="E100" s="73"/>
      <c r="F100" s="84"/>
      <c r="G100" s="73"/>
      <c r="H100" s="84"/>
      <c r="I100" s="77"/>
      <c r="J100" s="77"/>
      <c r="K100" s="73"/>
      <c r="L100" s="30"/>
      <c r="M100" s="27"/>
      <c r="N100" s="27"/>
      <c r="O100" s="27"/>
      <c r="P100" s="27"/>
      <c r="Q100" s="27"/>
      <c r="R100" s="27"/>
      <c r="S100" s="27"/>
      <c r="T100" s="27"/>
      <c r="U100" s="30"/>
      <c r="V100" s="40"/>
      <c r="W100" s="40"/>
      <c r="X100" s="117"/>
      <c r="Y100" s="117"/>
      <c r="Z100" s="117"/>
      <c r="AA100" s="117"/>
      <c r="AB100" s="117"/>
      <c r="AC100" s="117"/>
      <c r="AD100" s="18"/>
      <c r="AE100" s="5"/>
      <c r="AF100" s="49"/>
      <c r="AG100" s="49"/>
      <c r="AH100" s="5"/>
      <c r="AI100" s="51"/>
    </row>
    <row r="101" spans="1:35" s="28" customFormat="1" ht="12.75" x14ac:dyDescent="0.2">
      <c r="A101" s="79"/>
      <c r="B101" s="80"/>
      <c r="C101" s="79"/>
      <c r="D101" s="76"/>
      <c r="E101" s="73"/>
      <c r="F101" s="84"/>
      <c r="G101" s="73"/>
      <c r="H101" s="84"/>
      <c r="I101" s="77"/>
      <c r="J101" s="77"/>
      <c r="K101" s="73"/>
      <c r="L101" s="30"/>
      <c r="M101" s="27"/>
      <c r="N101" s="27"/>
      <c r="O101" s="27"/>
      <c r="P101" s="27"/>
      <c r="Q101" s="27"/>
      <c r="R101" s="27"/>
      <c r="S101" s="27"/>
      <c r="T101" s="27"/>
      <c r="U101" s="30"/>
      <c r="V101" s="40"/>
      <c r="W101" s="40"/>
      <c r="X101" s="117"/>
      <c r="Y101" s="117"/>
      <c r="Z101" s="117"/>
      <c r="AA101" s="117"/>
      <c r="AB101" s="117"/>
      <c r="AC101" s="117"/>
      <c r="AD101" s="18"/>
      <c r="AE101" s="5"/>
      <c r="AF101" s="5"/>
      <c r="AG101" s="5"/>
      <c r="AH101" s="5"/>
      <c r="AI101" s="51"/>
    </row>
    <row r="102" spans="1:35" s="28" customFormat="1" ht="12.75" x14ac:dyDescent="0.2">
      <c r="A102" s="79"/>
      <c r="B102" s="77"/>
      <c r="C102" s="77"/>
      <c r="D102" s="77"/>
      <c r="E102" s="73"/>
      <c r="F102" s="84"/>
      <c r="G102" s="73"/>
      <c r="H102" s="84"/>
      <c r="I102" s="77"/>
      <c r="J102" s="77"/>
      <c r="K102" s="79"/>
      <c r="L102" s="30"/>
      <c r="M102" s="27"/>
      <c r="N102" s="27"/>
      <c r="O102" s="27"/>
      <c r="P102" s="27"/>
      <c r="Q102" s="27"/>
      <c r="R102" s="27"/>
      <c r="S102" s="27"/>
      <c r="T102" s="27"/>
      <c r="U102" s="30"/>
      <c r="V102" s="40"/>
      <c r="W102" s="40"/>
      <c r="X102" s="117"/>
      <c r="Y102" s="117"/>
      <c r="Z102" s="117"/>
      <c r="AA102" s="117"/>
      <c r="AB102" s="117"/>
      <c r="AC102" s="117"/>
      <c r="AD102" s="18"/>
      <c r="AE102" s="5"/>
      <c r="AF102" s="5"/>
      <c r="AG102" s="5"/>
      <c r="AH102" s="5"/>
      <c r="AI102" s="51"/>
    </row>
    <row r="103" spans="1:35" s="28" customFormat="1" ht="12.75" x14ac:dyDescent="0.2">
      <c r="A103" s="79"/>
      <c r="B103" s="77"/>
      <c r="C103" s="77"/>
      <c r="D103" s="77"/>
      <c r="E103" s="73"/>
      <c r="F103" s="84"/>
      <c r="G103" s="73"/>
      <c r="H103" s="84"/>
      <c r="I103" s="77"/>
      <c r="J103" s="77"/>
      <c r="K103" s="79"/>
      <c r="L103" s="30"/>
      <c r="M103" s="27"/>
      <c r="N103" s="27"/>
      <c r="O103" s="27"/>
      <c r="P103" s="27"/>
      <c r="Q103" s="27"/>
      <c r="R103" s="27"/>
      <c r="S103" s="27"/>
      <c r="T103" s="27"/>
      <c r="U103" s="30"/>
      <c r="V103" s="40"/>
      <c r="W103" s="40"/>
      <c r="X103" s="117"/>
      <c r="Y103" s="117"/>
      <c r="Z103" s="117"/>
      <c r="AA103" s="117"/>
      <c r="AB103" s="117"/>
      <c r="AC103" s="117"/>
      <c r="AD103" s="18"/>
      <c r="AE103" s="5"/>
      <c r="AF103" s="5"/>
      <c r="AG103" s="5"/>
      <c r="AH103" s="5"/>
      <c r="AI103" s="5"/>
    </row>
    <row r="104" spans="1:35" s="28" customFormat="1" ht="12.75" x14ac:dyDescent="0.2">
      <c r="A104" s="73"/>
      <c r="B104" s="77"/>
      <c r="C104" s="77"/>
      <c r="D104" s="77"/>
      <c r="E104" s="73"/>
      <c r="F104" s="73"/>
      <c r="G104" s="73"/>
      <c r="H104" s="73"/>
      <c r="I104" s="73"/>
      <c r="J104" s="73"/>
      <c r="K104" s="73"/>
      <c r="L104" s="30"/>
      <c r="M104" s="27"/>
      <c r="N104" s="27"/>
      <c r="O104" s="27"/>
      <c r="P104" s="27"/>
      <c r="Q104" s="27"/>
      <c r="R104" s="27"/>
      <c r="S104" s="27"/>
      <c r="T104" s="27"/>
      <c r="U104" s="30"/>
      <c r="V104" s="40"/>
      <c r="W104" s="40"/>
      <c r="X104" s="117"/>
      <c r="Y104" s="117"/>
      <c r="Z104" s="117"/>
      <c r="AA104" s="117"/>
      <c r="AB104" s="117"/>
      <c r="AC104" s="117"/>
      <c r="AD104" s="18"/>
      <c r="AE104" s="5"/>
      <c r="AF104" s="5"/>
      <c r="AG104" s="5"/>
      <c r="AH104" s="51"/>
      <c r="AI104" s="5"/>
    </row>
    <row r="105" spans="1:35" s="28" customFormat="1" ht="12.75" x14ac:dyDescent="0.2">
      <c r="A105" s="73"/>
      <c r="B105" s="77"/>
      <c r="C105" s="77"/>
      <c r="D105" s="77"/>
      <c r="E105" s="73"/>
      <c r="F105" s="73"/>
      <c r="G105" s="73"/>
      <c r="H105" s="73"/>
      <c r="I105" s="73"/>
      <c r="J105" s="73"/>
      <c r="K105" s="73"/>
      <c r="L105" s="30"/>
      <c r="M105" s="27"/>
      <c r="N105" s="27"/>
      <c r="O105" s="27"/>
      <c r="P105" s="27"/>
      <c r="Q105" s="27"/>
      <c r="R105" s="27"/>
      <c r="S105" s="27"/>
      <c r="T105" s="27"/>
      <c r="U105" s="30"/>
      <c r="V105" s="40"/>
      <c r="W105" s="40"/>
      <c r="X105" s="117"/>
      <c r="Y105" s="117"/>
      <c r="Z105" s="117"/>
      <c r="AA105" s="117"/>
      <c r="AB105" s="117"/>
      <c r="AC105" s="117"/>
      <c r="AD105" s="18"/>
      <c r="AE105" s="5"/>
      <c r="AF105" s="5"/>
      <c r="AG105" s="5"/>
      <c r="AH105" s="5"/>
      <c r="AI105" s="5"/>
    </row>
    <row r="106" spans="1:35" s="28" customFormat="1" ht="12.75" x14ac:dyDescent="0.2">
      <c r="A106" s="80"/>
      <c r="B106" s="80"/>
      <c r="C106" s="163"/>
      <c r="D106" s="77"/>
      <c r="E106" s="73"/>
      <c r="F106" s="73"/>
      <c r="G106" s="73"/>
      <c r="H106" s="73"/>
      <c r="I106" s="73"/>
      <c r="J106" s="73"/>
      <c r="K106" s="73"/>
      <c r="L106" s="30"/>
      <c r="M106" s="27"/>
      <c r="N106" s="27"/>
      <c r="O106" s="27"/>
      <c r="P106" s="27"/>
      <c r="Q106" s="27"/>
      <c r="R106" s="27"/>
      <c r="S106" s="27"/>
      <c r="T106" s="27"/>
      <c r="U106" s="30"/>
      <c r="V106" s="40"/>
      <c r="W106" s="40"/>
      <c r="X106" s="30"/>
      <c r="Y106" s="52"/>
      <c r="Z106" s="52"/>
      <c r="AA106" s="52"/>
      <c r="AB106" s="52"/>
      <c r="AC106" s="52"/>
      <c r="AD106" s="5"/>
      <c r="AE106" s="5"/>
      <c r="AF106" s="5"/>
      <c r="AG106" s="5"/>
      <c r="AH106" s="5"/>
      <c r="AI106" s="5"/>
    </row>
    <row r="107" spans="1:35" s="28" customFormat="1" ht="12.75" x14ac:dyDescent="0.2">
      <c r="A107" s="76"/>
      <c r="B107" s="76"/>
      <c r="C107" s="89"/>
      <c r="D107" s="88"/>
      <c r="E107" s="73"/>
      <c r="F107" s="76"/>
      <c r="G107" s="78"/>
      <c r="H107" s="73"/>
      <c r="I107" s="77"/>
      <c r="J107" s="73"/>
      <c r="K107" s="73"/>
      <c r="L107" s="30"/>
      <c r="M107" s="27"/>
      <c r="N107" s="27"/>
      <c r="O107" s="27"/>
      <c r="P107" s="27"/>
      <c r="Q107" s="27"/>
      <c r="R107" s="27"/>
      <c r="S107" s="27"/>
      <c r="T107" s="27"/>
      <c r="U107" s="30"/>
      <c r="V107" s="40"/>
      <c r="W107" s="40"/>
      <c r="X107" s="30"/>
      <c r="Y107" s="52"/>
      <c r="Z107" s="18"/>
      <c r="AA107" s="41"/>
      <c r="AB107" s="5"/>
      <c r="AC107" s="5"/>
      <c r="AD107" s="5"/>
      <c r="AE107" s="5"/>
      <c r="AF107" s="5"/>
      <c r="AG107" s="5"/>
      <c r="AH107" s="5"/>
      <c r="AI107" s="5"/>
    </row>
    <row r="108" spans="1:35" s="28" customFormat="1" ht="12.75" x14ac:dyDescent="0.2">
      <c r="A108" s="80"/>
      <c r="B108" s="77"/>
      <c r="C108" s="77"/>
      <c r="D108" s="88"/>
      <c r="E108" s="73"/>
      <c r="F108" s="76"/>
      <c r="G108" s="73"/>
      <c r="H108" s="73"/>
      <c r="I108" s="77"/>
      <c r="J108" s="81"/>
      <c r="K108" s="81"/>
      <c r="L108" s="30"/>
      <c r="M108" s="27"/>
      <c r="N108" s="27"/>
      <c r="O108" s="27"/>
      <c r="P108" s="27"/>
      <c r="Q108" s="27"/>
      <c r="R108" s="27"/>
      <c r="S108" s="27"/>
      <c r="T108" s="27"/>
      <c r="U108" s="30"/>
      <c r="V108" s="40"/>
      <c r="W108" s="40"/>
      <c r="X108" s="30"/>
      <c r="Y108" s="18"/>
      <c r="Z108" s="51"/>
      <c r="AA108" s="55"/>
      <c r="AB108" s="51"/>
      <c r="AC108" s="5"/>
      <c r="AD108" s="5"/>
      <c r="AE108" s="5"/>
      <c r="AF108" s="5"/>
      <c r="AG108" s="5"/>
      <c r="AH108" s="5"/>
      <c r="AI108" s="5"/>
    </row>
    <row r="109" spans="1:35" s="28" customFormat="1" ht="12.75" x14ac:dyDescent="0.2">
      <c r="A109" s="80"/>
      <c r="C109" s="77"/>
      <c r="D109" s="77"/>
      <c r="E109" s="77" t="s">
        <v>179</v>
      </c>
      <c r="F109" s="73"/>
      <c r="G109" s="80"/>
      <c r="H109" s="81"/>
      <c r="I109" s="77"/>
      <c r="J109" s="81"/>
      <c r="K109" s="81"/>
      <c r="L109" s="30"/>
      <c r="M109" s="27"/>
      <c r="N109" s="27"/>
      <c r="O109" s="27"/>
      <c r="P109" s="27"/>
      <c r="Q109" s="27"/>
      <c r="R109" s="27"/>
      <c r="S109" s="27"/>
      <c r="T109" s="27"/>
      <c r="U109" s="30"/>
      <c r="V109" s="40"/>
      <c r="W109" s="40"/>
      <c r="X109" s="30"/>
      <c r="Y109" s="18"/>
      <c r="Z109" s="5"/>
      <c r="AA109" s="41"/>
      <c r="AB109" s="5"/>
      <c r="AC109" s="5"/>
      <c r="AD109" s="5"/>
      <c r="AE109" s="5"/>
      <c r="AF109" s="5"/>
      <c r="AG109" s="5"/>
      <c r="AH109" s="5"/>
      <c r="AI109" s="5"/>
    </row>
    <row r="110" spans="1:35" s="28" customFormat="1" ht="12.75" x14ac:dyDescent="0.2">
      <c r="A110" s="73"/>
      <c r="C110" s="77"/>
      <c r="D110" s="77"/>
      <c r="E110" s="77" t="s">
        <v>180</v>
      </c>
      <c r="F110" s="80"/>
      <c r="G110" s="77"/>
      <c r="H110" s="77"/>
      <c r="I110" s="73"/>
      <c r="J110" s="73"/>
      <c r="K110" s="73"/>
      <c r="L110" s="30"/>
      <c r="M110" s="27"/>
      <c r="N110" s="27"/>
      <c r="O110" s="27"/>
      <c r="P110" s="27"/>
      <c r="Q110" s="27"/>
      <c r="R110" s="27"/>
      <c r="S110" s="27"/>
      <c r="T110" s="27"/>
      <c r="U110" s="30"/>
      <c r="V110" s="40"/>
      <c r="W110" s="40"/>
      <c r="X110" s="30"/>
      <c r="Y110" s="5"/>
      <c r="Z110" s="5"/>
      <c r="AA110" s="5"/>
      <c r="AB110" s="5"/>
      <c r="AC110" s="5"/>
      <c r="AD110" s="5"/>
      <c r="AE110" s="5"/>
      <c r="AF110" s="5"/>
      <c r="AG110" s="5"/>
      <c r="AH110" s="5"/>
      <c r="AI110" s="5"/>
    </row>
    <row r="111" spans="1:35" s="28" customFormat="1" ht="12.75" x14ac:dyDescent="0.2">
      <c r="A111" s="73"/>
      <c r="B111" s="76"/>
      <c r="C111" s="77"/>
      <c r="D111" s="73"/>
      <c r="E111" s="76"/>
      <c r="F111" s="111"/>
      <c r="G111" s="110"/>
      <c r="H111" s="77"/>
      <c r="I111" s="73"/>
      <c r="J111" s="73"/>
      <c r="K111" s="73"/>
      <c r="L111" s="30"/>
      <c r="M111" s="27"/>
      <c r="N111" s="27"/>
      <c r="O111" s="27"/>
      <c r="P111" s="27"/>
      <c r="Q111" s="27"/>
      <c r="R111" s="27"/>
      <c r="S111" s="27"/>
      <c r="T111" s="27"/>
      <c r="U111" s="30"/>
      <c r="V111" s="40"/>
      <c r="W111" s="40"/>
      <c r="X111" s="30"/>
    </row>
    <row r="112" spans="1:35" s="28" customFormat="1" ht="12.75" x14ac:dyDescent="0.2">
      <c r="A112" s="73"/>
      <c r="C112" s="95"/>
      <c r="D112" s="110"/>
      <c r="E112" s="80" t="s">
        <v>205</v>
      </c>
      <c r="F112" s="158">
        <f>BO52*2</f>
        <v>485.13837878034605</v>
      </c>
      <c r="G112" s="73" t="s">
        <v>143</v>
      </c>
      <c r="H112" s="77"/>
      <c r="I112" s="73"/>
      <c r="J112" s="73"/>
      <c r="K112" s="73"/>
      <c r="L112" s="30"/>
      <c r="M112" s="27"/>
      <c r="N112" s="27"/>
      <c r="O112" s="27"/>
      <c r="P112" s="27"/>
      <c r="Q112" s="27"/>
      <c r="R112" s="27"/>
      <c r="S112" s="27"/>
      <c r="T112" s="27"/>
      <c r="U112" s="30"/>
      <c r="V112" s="40"/>
      <c r="W112" s="40"/>
      <c r="X112" s="30"/>
    </row>
    <row r="113" spans="1:24" s="28" customFormat="1" ht="12.75" x14ac:dyDescent="0.2">
      <c r="A113" s="73"/>
      <c r="C113" s="77"/>
      <c r="D113" s="77"/>
      <c r="E113" s="80" t="s">
        <v>206</v>
      </c>
      <c r="F113" s="158">
        <f>CA52*2</f>
        <v>43.295898492419866</v>
      </c>
      <c r="G113" s="73" t="s">
        <v>183</v>
      </c>
      <c r="H113" s="77"/>
      <c r="I113" s="73"/>
      <c r="J113" s="73"/>
      <c r="K113" s="73"/>
      <c r="L113" s="30"/>
      <c r="M113" s="27"/>
      <c r="N113" s="27"/>
      <c r="O113" s="27"/>
      <c r="P113" s="27"/>
      <c r="Q113" s="27"/>
      <c r="R113" s="27"/>
      <c r="S113" s="27"/>
      <c r="T113" s="27"/>
      <c r="U113" s="30"/>
      <c r="V113" s="56"/>
      <c r="W113" s="40"/>
      <c r="X113" s="30"/>
    </row>
    <row r="114" spans="1:24" s="28" customFormat="1" ht="12.75" x14ac:dyDescent="0.2">
      <c r="A114" s="5"/>
      <c r="B114" s="46"/>
      <c r="C114" s="53"/>
      <c r="D114" s="43"/>
      <c r="E114" s="49"/>
      <c r="F114" s="40"/>
      <c r="G114" s="5"/>
      <c r="H114" s="49"/>
      <c r="I114" s="40"/>
      <c r="J114" s="47"/>
      <c r="K114" s="47"/>
      <c r="L114" s="30"/>
      <c r="M114" s="27"/>
      <c r="N114" s="27"/>
      <c r="O114" s="27"/>
      <c r="P114" s="27"/>
      <c r="Q114" s="27"/>
      <c r="R114" s="27"/>
      <c r="S114" s="27"/>
      <c r="T114" s="27"/>
      <c r="U114" s="30"/>
      <c r="V114" s="5"/>
      <c r="W114" s="5"/>
      <c r="X114" s="30"/>
    </row>
    <row r="115" spans="1:24" s="28" customFormat="1" ht="12.75" x14ac:dyDescent="0.2">
      <c r="A115" s="58"/>
      <c r="B115" s="28" t="s">
        <v>252</v>
      </c>
      <c r="C115" s="60"/>
      <c r="D115" s="58"/>
      <c r="E115" s="58"/>
      <c r="F115" s="58"/>
      <c r="G115" s="60"/>
      <c r="H115" s="58"/>
      <c r="I115" s="58"/>
      <c r="J115" s="58"/>
      <c r="K115" s="58"/>
      <c r="L115" s="30"/>
      <c r="M115" s="27"/>
      <c r="N115" s="27"/>
      <c r="O115" s="27"/>
      <c r="P115" s="27"/>
      <c r="Q115" s="27"/>
      <c r="R115" s="27"/>
      <c r="S115" s="27"/>
      <c r="T115" s="27"/>
      <c r="U115" s="30"/>
      <c r="V115" s="30"/>
      <c r="W115" s="30"/>
      <c r="X115" s="30"/>
    </row>
    <row r="116" spans="1:24" s="28" customFormat="1" ht="12.75" x14ac:dyDescent="0.2">
      <c r="A116" s="58"/>
      <c r="B116" s="59"/>
      <c r="C116" s="60"/>
      <c r="D116" s="58"/>
      <c r="E116" s="58"/>
      <c r="F116" s="58"/>
      <c r="G116" s="60"/>
      <c r="H116" s="58"/>
      <c r="I116" s="58"/>
      <c r="J116" s="58"/>
      <c r="K116" s="58"/>
      <c r="L116" s="30"/>
      <c r="M116" s="27"/>
      <c r="N116" s="27"/>
      <c r="O116" s="27"/>
      <c r="P116" s="27"/>
      <c r="Q116" s="27"/>
      <c r="R116" s="27"/>
      <c r="S116" s="27"/>
      <c r="T116" s="27"/>
      <c r="U116" s="30"/>
      <c r="V116" s="30"/>
      <c r="W116" s="30"/>
      <c r="X116" s="30"/>
    </row>
    <row r="117" spans="1:24" s="28" customFormat="1" ht="12.75" x14ac:dyDescent="0.2">
      <c r="A117" s="58"/>
      <c r="B117" s="59"/>
      <c r="C117" s="60"/>
      <c r="D117" s="58"/>
      <c r="E117" s="58"/>
      <c r="F117" s="58"/>
      <c r="G117" s="60"/>
      <c r="H117" s="58"/>
      <c r="I117" s="58"/>
      <c r="J117" s="58"/>
      <c r="K117" s="58"/>
      <c r="L117" s="30"/>
      <c r="M117" s="27"/>
      <c r="N117" s="27"/>
      <c r="O117" s="27"/>
      <c r="P117" s="27"/>
      <c r="Q117" s="27"/>
      <c r="R117" s="27"/>
      <c r="S117" s="27"/>
      <c r="T117" s="27"/>
      <c r="U117" s="30"/>
      <c r="V117" s="30"/>
      <c r="W117" s="30"/>
      <c r="X117" s="30"/>
    </row>
    <row r="118" spans="1:24" s="28" customFormat="1" ht="12.75" x14ac:dyDescent="0.2">
      <c r="A118" s="58"/>
      <c r="B118" s="59"/>
      <c r="C118" s="60"/>
      <c r="D118" s="58"/>
      <c r="E118" s="58"/>
      <c r="F118" s="58"/>
      <c r="G118" s="60"/>
      <c r="H118" s="58"/>
      <c r="I118" s="58"/>
      <c r="J118" s="58"/>
      <c r="K118" s="58"/>
      <c r="L118" s="30"/>
      <c r="M118" s="27"/>
      <c r="N118" s="27"/>
      <c r="O118" s="27"/>
      <c r="P118" s="27"/>
      <c r="Q118" s="27"/>
      <c r="R118" s="27"/>
      <c r="S118" s="27"/>
      <c r="T118" s="27"/>
      <c r="U118" s="30"/>
      <c r="V118" s="30"/>
      <c r="W118" s="30"/>
      <c r="X118" s="30"/>
    </row>
    <row r="119" spans="1:24" s="28" customFormat="1" ht="12.75" x14ac:dyDescent="0.2">
      <c r="A119" s="58"/>
      <c r="B119" s="59"/>
      <c r="C119" s="60"/>
      <c r="D119" s="58"/>
      <c r="E119" s="58"/>
      <c r="F119" s="58"/>
      <c r="G119" s="60"/>
      <c r="H119" s="58"/>
      <c r="I119" s="58"/>
      <c r="J119" s="58"/>
      <c r="K119" s="58"/>
      <c r="L119" s="30"/>
      <c r="M119" s="27"/>
      <c r="N119" s="27"/>
      <c r="O119" s="27"/>
      <c r="P119" s="27"/>
      <c r="Q119" s="27"/>
      <c r="R119" s="27"/>
      <c r="S119" s="27"/>
      <c r="T119" s="27"/>
      <c r="U119" s="30"/>
      <c r="V119" s="30"/>
      <c r="W119" s="30"/>
      <c r="X119" s="30"/>
    </row>
    <row r="120" spans="1:24" s="28" customFormat="1" ht="12.75" x14ac:dyDescent="0.2">
      <c r="A120" s="58"/>
      <c r="B120" s="59"/>
      <c r="C120" s="60"/>
      <c r="D120" s="58"/>
      <c r="E120" s="58"/>
      <c r="F120" s="58"/>
      <c r="G120" s="60"/>
      <c r="H120" s="58"/>
      <c r="I120" s="58"/>
      <c r="J120" s="58"/>
      <c r="K120" s="58"/>
      <c r="L120" s="30"/>
      <c r="M120" s="27"/>
      <c r="N120" s="27"/>
      <c r="O120" s="27"/>
      <c r="P120" s="27"/>
      <c r="Q120" s="27"/>
      <c r="R120" s="27"/>
      <c r="S120" s="27"/>
      <c r="T120" s="27"/>
      <c r="U120" s="30"/>
      <c r="V120" s="30"/>
      <c r="W120" s="30"/>
      <c r="X120" s="30"/>
    </row>
    <row r="121" spans="1:24" s="28" customFormat="1" ht="12.75" x14ac:dyDescent="0.2">
      <c r="A121" s="145" t="s">
        <v>118</v>
      </c>
      <c r="B121" s="146"/>
      <c r="C121" s="146"/>
      <c r="D121" s="146"/>
      <c r="E121" s="146"/>
      <c r="F121" s="146"/>
      <c r="G121" s="147"/>
      <c r="H121" s="147"/>
      <c r="I121" s="147"/>
      <c r="J121" s="147"/>
      <c r="K121" s="148"/>
      <c r="L121" s="30"/>
      <c r="M121" s="27"/>
      <c r="N121" s="27"/>
      <c r="O121" s="27"/>
      <c r="P121" s="27"/>
      <c r="Q121" s="27"/>
      <c r="R121" s="27"/>
      <c r="S121" s="27"/>
      <c r="T121" s="27"/>
      <c r="U121" s="30"/>
      <c r="V121" s="30"/>
      <c r="W121" s="30"/>
      <c r="X121" s="30"/>
    </row>
    <row r="122" spans="1:24" s="28" customFormat="1" ht="12.75" x14ac:dyDescent="0.2">
      <c r="A122" s="149"/>
      <c r="B122" s="149"/>
      <c r="C122" s="149"/>
      <c r="D122" s="150"/>
      <c r="E122" s="150"/>
      <c r="F122" s="151" t="s">
        <v>119</v>
      </c>
      <c r="G122" s="152" t="s">
        <v>120</v>
      </c>
      <c r="H122" s="153"/>
      <c r="I122" s="154"/>
      <c r="J122" s="154"/>
      <c r="K122" s="155"/>
      <c r="L122" s="30"/>
      <c r="M122" s="27"/>
      <c r="N122" s="27"/>
      <c r="O122" s="27"/>
      <c r="P122" s="27"/>
      <c r="Q122" s="27"/>
      <c r="R122" s="27"/>
      <c r="S122" s="27"/>
      <c r="T122" s="27"/>
      <c r="U122" s="30"/>
      <c r="V122" s="30"/>
      <c r="W122" s="30"/>
      <c r="X122" s="30"/>
    </row>
    <row r="123" spans="1:24" s="26" customFormat="1" ht="12.75" x14ac:dyDescent="0.2">
      <c r="M123" s="27"/>
      <c r="N123" s="27"/>
      <c r="O123" s="27"/>
      <c r="P123" s="27"/>
      <c r="Q123" s="27"/>
      <c r="R123" s="27"/>
      <c r="S123" s="27"/>
      <c r="T123" s="27"/>
    </row>
    <row r="124" spans="1:24" s="26" customFormat="1" ht="12.75" x14ac:dyDescent="0.2">
      <c r="M124" s="27"/>
      <c r="N124" s="27"/>
      <c r="O124" s="27"/>
      <c r="P124" s="27"/>
      <c r="Q124" s="27"/>
      <c r="R124" s="27"/>
      <c r="S124" s="27"/>
      <c r="T124" s="27"/>
    </row>
    <row r="125" spans="1:24" s="26" customFormat="1" ht="12.75" x14ac:dyDescent="0.2">
      <c r="M125" s="27"/>
      <c r="N125" s="27"/>
      <c r="O125" s="27"/>
      <c r="P125" s="27"/>
      <c r="Q125" s="27"/>
      <c r="R125" s="27"/>
      <c r="S125" s="27"/>
      <c r="T125" s="27"/>
    </row>
    <row r="126" spans="1:24" s="26" customFormat="1" ht="12.75" x14ac:dyDescent="0.2">
      <c r="M126" s="27"/>
      <c r="N126" s="27"/>
      <c r="O126" s="27"/>
      <c r="P126" s="27"/>
      <c r="Q126" s="27"/>
      <c r="R126" s="27"/>
      <c r="S126" s="27"/>
      <c r="T126" s="27"/>
    </row>
    <row r="127" spans="1:24" s="26" customFormat="1" ht="12.75" x14ac:dyDescent="0.2">
      <c r="M127" s="27"/>
      <c r="N127" s="27"/>
      <c r="O127" s="27"/>
      <c r="P127" s="27"/>
      <c r="Q127" s="27"/>
      <c r="R127" s="27"/>
      <c r="S127" s="27"/>
      <c r="T127" s="27"/>
    </row>
    <row r="128" spans="1:24"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sheetData>
  <dataValidations disablePrompts="1" count="1">
    <dataValidation type="list" allowBlank="1" showInputMessage="1" showErrorMessage="1" sqref="C104">
      <formula1>"Normal,Utility,Acrobatic"</formula1>
    </dataValidation>
  </dataValidations>
  <hyperlinks>
    <hyperlink ref="G65" r:id="rId1"/>
    <hyperlink ref="G122" r:id="rId2"/>
  </hyperlinks>
  <pageMargins left="0.47244094488188998" right="0.23622047244094499" top="0.31496062992126" bottom="0.25" header="0.43307086614173201" footer="0.25"/>
  <pageSetup orientation="portrait" r:id="rId3"/>
  <headerFooter alignWithMargins="0"/>
  <rowBreaks count="1" manualBreakCount="1">
    <brk id="65" max="10"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473"/>
  <sheetViews>
    <sheetView view="pageBreakPreview" zoomScaleNormal="100" zoomScaleSheetLayoutView="100" workbookViewId="0">
      <selection activeCell="B1" sqref="B1:H6"/>
    </sheetView>
  </sheetViews>
  <sheetFormatPr defaultColWidth="9.140625" defaultRowHeight="15.75" x14ac:dyDescent="0.25"/>
  <cols>
    <col min="1" max="1" width="9.140625" style="25"/>
    <col min="2" max="2" width="9.28515625" style="25" customWidth="1"/>
    <col min="3" max="3" width="9.5703125" style="25" customWidth="1"/>
    <col min="4" max="11" width="9.140625" style="25"/>
    <col min="12" max="12" width="5.42578125" style="26" customWidth="1"/>
    <col min="13" max="20" width="4.140625" style="27" customWidth="1"/>
    <col min="21" max="16384" width="9.140625" style="25"/>
  </cols>
  <sheetData>
    <row r="1" spans="1:52" s="5" customFormat="1" ht="12.75" x14ac:dyDescent="0.2">
      <c r="A1" s="1"/>
      <c r="B1" s="2" t="s">
        <v>1</v>
      </c>
      <c r="C1" s="3" t="str">
        <f>Analysis!C1</f>
        <v>R. Abbott</v>
      </c>
      <c r="D1" s="1"/>
      <c r="E1" s="1"/>
      <c r="F1" s="2" t="s">
        <v>11</v>
      </c>
      <c r="G1" s="3">
        <f>Analysis!G1</f>
        <v>17</v>
      </c>
      <c r="H1" s="1"/>
      <c r="I1" s="1"/>
      <c r="J1" s="1"/>
      <c r="K1" s="1"/>
      <c r="M1" s="6" t="s">
        <v>12</v>
      </c>
      <c r="N1" s="6" t="s">
        <v>13</v>
      </c>
      <c r="O1" s="6" t="s">
        <v>14</v>
      </c>
      <c r="P1" s="6" t="s">
        <v>14</v>
      </c>
      <c r="Q1" s="6" t="s">
        <v>14</v>
      </c>
      <c r="R1" s="6" t="s">
        <v>15</v>
      </c>
      <c r="S1" s="32" t="s">
        <v>16</v>
      </c>
      <c r="T1" s="33" t="s">
        <v>17</v>
      </c>
      <c r="W1" s="7" t="s">
        <v>18</v>
      </c>
      <c r="X1" s="8">
        <f>SUM(M:M)</f>
        <v>12</v>
      </c>
    </row>
    <row r="2" spans="1:52" s="5" customFormat="1" ht="12.75" x14ac:dyDescent="0.2">
      <c r="A2" s="1"/>
      <c r="B2" s="2" t="s">
        <v>2</v>
      </c>
      <c r="C2" s="3" t="s">
        <v>10</v>
      </c>
      <c r="D2" s="1"/>
      <c r="E2" s="1"/>
      <c r="F2" s="2" t="s">
        <v>5</v>
      </c>
      <c r="G2" s="3" t="str">
        <f>Analysis!G2</f>
        <v>AA-SM-515-000</v>
      </c>
      <c r="H2" s="1"/>
      <c r="I2" s="1"/>
      <c r="J2" s="1"/>
      <c r="K2" s="1"/>
      <c r="M2" s="9" t="s">
        <v>19</v>
      </c>
      <c r="N2" s="9" t="s">
        <v>19</v>
      </c>
      <c r="O2" s="9" t="s">
        <v>13</v>
      </c>
      <c r="P2" s="9" t="s">
        <v>13</v>
      </c>
      <c r="Q2" s="9" t="s">
        <v>13</v>
      </c>
      <c r="R2" s="9" t="s">
        <v>19</v>
      </c>
      <c r="S2" s="34" t="s">
        <v>19</v>
      </c>
      <c r="T2" s="35"/>
      <c r="W2" s="7" t="s">
        <v>20</v>
      </c>
      <c r="X2" s="8">
        <f>SUM(N:N)</f>
        <v>0</v>
      </c>
    </row>
    <row r="3" spans="1:52" s="5" customFormat="1" ht="12.75" x14ac:dyDescent="0.2">
      <c r="A3" s="1"/>
      <c r="B3" s="2" t="s">
        <v>3</v>
      </c>
      <c r="C3" s="3" t="str">
        <f>Analysis!C3</f>
        <v>05/03/2017</v>
      </c>
      <c r="D3" s="1"/>
      <c r="E3" s="1"/>
      <c r="F3" s="2" t="s">
        <v>4</v>
      </c>
      <c r="G3" s="3" t="str">
        <f>Analysis!G3</f>
        <v>IR</v>
      </c>
      <c r="H3" s="1"/>
      <c r="I3" s="1"/>
      <c r="J3" s="1"/>
      <c r="K3" s="1"/>
      <c r="M3" s="9"/>
      <c r="N3" s="9"/>
      <c r="O3" s="9"/>
      <c r="P3" s="9"/>
      <c r="Q3" s="9"/>
      <c r="R3" s="9"/>
      <c r="S3" s="34"/>
      <c r="T3" s="35"/>
      <c r="W3" s="7" t="s">
        <v>22</v>
      </c>
      <c r="X3" s="8">
        <f>SUM(O:O)</f>
        <v>0</v>
      </c>
    </row>
    <row r="4" spans="1:52" s="5" customFormat="1" ht="12.75" x14ac:dyDescent="0.2">
      <c r="A4" s="1"/>
      <c r="B4" s="2" t="s">
        <v>23</v>
      </c>
      <c r="C4" s="3"/>
      <c r="D4" s="1"/>
      <c r="E4" s="1"/>
      <c r="F4" s="2" t="s">
        <v>24</v>
      </c>
      <c r="G4" s="3" t="str">
        <f>Analysis!G4</f>
        <v>SIMPLIFIED PART 23 AIRCRAFT LOADS</v>
      </c>
      <c r="H4" s="1"/>
      <c r="I4" s="1"/>
      <c r="J4" s="1"/>
      <c r="K4" s="1"/>
      <c r="M4" s="9">
        <f>SUM('Elevator Load'!M:M)</f>
        <v>10</v>
      </c>
      <c r="N4" s="9"/>
      <c r="O4" s="9"/>
      <c r="P4" s="9"/>
      <c r="Q4" s="11"/>
      <c r="R4" s="12"/>
      <c r="S4" s="36"/>
      <c r="T4" s="35"/>
      <c r="W4" s="7" t="s">
        <v>22</v>
      </c>
      <c r="X4" s="8">
        <f>SUM(P:P)</f>
        <v>0</v>
      </c>
    </row>
    <row r="5" spans="1:52" s="5" customFormat="1" ht="12.75" x14ac:dyDescent="0.2">
      <c r="A5" s="1"/>
      <c r="B5" s="2" t="s">
        <v>26</v>
      </c>
      <c r="C5" s="3" t="str">
        <f>Analysis!C5</f>
        <v>STANDARD SPREADSHEET METHOD</v>
      </c>
      <c r="D5" s="1"/>
      <c r="E5" s="2"/>
      <c r="F5" s="1"/>
      <c r="G5" s="1"/>
      <c r="H5" s="1"/>
      <c r="I5" s="1"/>
      <c r="J5" s="1"/>
      <c r="K5" s="1"/>
      <c r="M5" s="9"/>
      <c r="N5" s="9"/>
      <c r="O5" s="9"/>
      <c r="P5" s="9"/>
      <c r="Q5" s="11"/>
      <c r="R5" s="12"/>
      <c r="S5" s="36"/>
      <c r="T5" s="35"/>
      <c r="W5" s="7" t="s">
        <v>22</v>
      </c>
      <c r="X5" s="8">
        <f>SUM(Q:Q)</f>
        <v>0</v>
      </c>
    </row>
    <row r="6" spans="1:52"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52" s="5" customFormat="1" ht="12.75" x14ac:dyDescent="0.2">
      <c r="A7" s="1"/>
      <c r="B7" s="1"/>
      <c r="C7" s="1"/>
      <c r="D7" s="1"/>
      <c r="E7" s="1"/>
      <c r="F7" s="1"/>
      <c r="G7" s="1"/>
      <c r="H7" s="1"/>
      <c r="I7" s="1"/>
      <c r="J7" s="1"/>
      <c r="K7" s="1"/>
      <c r="M7" s="9"/>
      <c r="N7" s="9"/>
      <c r="O7" s="9"/>
      <c r="P7" s="9"/>
      <c r="Q7" s="11"/>
      <c r="R7" s="12"/>
      <c r="S7" s="36"/>
      <c r="T7" s="35"/>
      <c r="W7" s="7" t="s">
        <v>28</v>
      </c>
      <c r="X7" s="8">
        <f>SUM(S:S)</f>
        <v>0</v>
      </c>
    </row>
    <row r="8" spans="1:52" s="5" customFormat="1" ht="12.75" x14ac:dyDescent="0.2">
      <c r="A8" s="14"/>
      <c r="E8" s="7" t="s">
        <v>1</v>
      </c>
      <c r="F8" s="8" t="str">
        <f>$C$1</f>
        <v>R. Abbott</v>
      </c>
      <c r="H8" s="15"/>
      <c r="I8" s="7" t="s">
        <v>8</v>
      </c>
      <c r="J8" s="16" t="str">
        <f>$G$2</f>
        <v>AA-SM-515-000</v>
      </c>
      <c r="K8" s="17"/>
      <c r="L8" s="18"/>
      <c r="M8" s="9"/>
      <c r="N8" s="9"/>
      <c r="O8" s="9"/>
      <c r="P8" s="9"/>
      <c r="Q8" s="11"/>
      <c r="R8" s="12"/>
      <c r="S8" s="36"/>
      <c r="T8" s="35"/>
    </row>
    <row r="9" spans="1:52" s="5" customFormat="1" ht="12.75" x14ac:dyDescent="0.2">
      <c r="E9" s="7" t="s">
        <v>2</v>
      </c>
      <c r="F9" s="15" t="str">
        <f>$C$2</f>
        <v xml:space="preserve"> </v>
      </c>
      <c r="H9" s="15"/>
      <c r="I9" s="7" t="s">
        <v>9</v>
      </c>
      <c r="J9" s="17" t="str">
        <f>$G$3</f>
        <v>IR</v>
      </c>
      <c r="K9" s="17"/>
      <c r="L9" s="18"/>
      <c r="M9" s="9">
        <v>1</v>
      </c>
      <c r="N9" s="9"/>
      <c r="O9" s="9"/>
      <c r="P9" s="9"/>
      <c r="Q9" s="11"/>
      <c r="R9" s="12"/>
      <c r="S9" s="36"/>
      <c r="T9" s="35"/>
    </row>
    <row r="10" spans="1:52" s="5" customFormat="1" ht="12.75" x14ac:dyDescent="0.2">
      <c r="E10" s="7" t="s">
        <v>3</v>
      </c>
      <c r="F10" s="15" t="str">
        <f>$C$3</f>
        <v>05/03/2017</v>
      </c>
      <c r="H10" s="15"/>
      <c r="I10" s="7" t="s">
        <v>6</v>
      </c>
      <c r="J10" s="8" t="str">
        <f>L10&amp;" of "&amp;$G$1</f>
        <v>11 of 17</v>
      </c>
      <c r="K10" s="15"/>
      <c r="L10" s="18">
        <f>SUM($M$1:M9)</f>
        <v>11</v>
      </c>
      <c r="M10" s="9"/>
      <c r="N10" s="9"/>
      <c r="O10" s="9"/>
      <c r="P10" s="9"/>
      <c r="Q10" s="11"/>
      <c r="R10" s="12"/>
      <c r="S10" s="36"/>
      <c r="T10" s="35"/>
      <c r="W10" s="18"/>
      <c r="Y10" s="18"/>
      <c r="Z10" s="18"/>
      <c r="AA10" s="18"/>
      <c r="AB10" s="18"/>
      <c r="AC10" s="18"/>
    </row>
    <row r="11" spans="1:52" s="5" customFormat="1" ht="12.75" x14ac:dyDescent="0.2">
      <c r="A11" s="26"/>
      <c r="B11" s="26"/>
      <c r="C11" s="26"/>
      <c r="D11" s="26"/>
      <c r="E11" s="7" t="s">
        <v>29</v>
      </c>
      <c r="F11" s="15" t="str">
        <f>$C$5</f>
        <v>STANDARD SPREADSHEET METHOD</v>
      </c>
      <c r="I11" s="19"/>
      <c r="J11" s="8"/>
      <c r="M11" s="9"/>
      <c r="N11" s="9"/>
      <c r="O11" s="9"/>
      <c r="P11" s="9"/>
      <c r="Q11" s="9"/>
      <c r="R11" s="9"/>
      <c r="S11" s="34"/>
      <c r="T11" s="35"/>
      <c r="W11" s="179" t="s">
        <v>160</v>
      </c>
      <c r="Y11" s="7">
        <f>E47/30</f>
        <v>0.05</v>
      </c>
      <c r="Z11" s="47" t="s">
        <v>136</v>
      </c>
      <c r="AA11" s="18" t="s">
        <v>151</v>
      </c>
      <c r="AB11" s="18">
        <f>(G42-A41)/E47</f>
        <v>0.16666666666666666</v>
      </c>
      <c r="AC11" s="18">
        <f>(AY22-AX16)/E47</f>
        <v>0</v>
      </c>
      <c r="AF11" s="5" t="s">
        <v>172</v>
      </c>
      <c r="AI11" s="28" t="s">
        <v>167</v>
      </c>
      <c r="AJ11" s="28"/>
      <c r="AK11" s="28"/>
      <c r="AP11" s="5" t="s">
        <v>173</v>
      </c>
    </row>
    <row r="12" spans="1:52" s="28" customFormat="1" x14ac:dyDescent="0.25">
      <c r="A12" s="70"/>
      <c r="B12" s="21" t="str">
        <f>$G$4</f>
        <v>SIMPLIFIED PART 23 AIRCRAFT LOADS</v>
      </c>
      <c r="C12" s="71"/>
      <c r="D12" s="71"/>
      <c r="E12" s="72"/>
      <c r="F12" s="71"/>
      <c r="G12" s="71"/>
      <c r="H12" s="71"/>
      <c r="I12" s="71"/>
      <c r="J12" s="71"/>
      <c r="K12" s="71"/>
      <c r="L12" s="30"/>
      <c r="M12" s="37"/>
      <c r="N12" s="38"/>
      <c r="O12" s="38"/>
      <c r="P12" s="38"/>
      <c r="Q12" s="38"/>
      <c r="R12" s="37"/>
      <c r="S12" s="37"/>
      <c r="T12" s="39"/>
      <c r="W12" s="59"/>
      <c r="Y12" s="135">
        <f>Y11*12</f>
        <v>0.60000000000000009</v>
      </c>
      <c r="Z12" s="187" t="s">
        <v>139</v>
      </c>
      <c r="AA12" s="59" t="s">
        <v>152</v>
      </c>
      <c r="AB12" s="177">
        <f>A41</f>
        <v>0.5</v>
      </c>
      <c r="AC12" s="177">
        <f>AX16</f>
        <v>0</v>
      </c>
      <c r="AI12" s="28" t="s">
        <v>171</v>
      </c>
      <c r="AJ12" s="185">
        <f>D54/AH51</f>
        <v>1.717728212575741E-2</v>
      </c>
      <c r="AP12" s="176">
        <f>C32</f>
        <v>56.692041522491351</v>
      </c>
    </row>
    <row r="13" spans="1:52" s="26" customFormat="1" ht="12.75" x14ac:dyDescent="0.2">
      <c r="A13" s="73"/>
      <c r="B13" s="73" t="s">
        <v>47</v>
      </c>
      <c r="C13" s="73"/>
      <c r="D13" s="73"/>
      <c r="E13" s="73"/>
      <c r="F13" s="73"/>
      <c r="G13" s="73"/>
      <c r="H13" s="73"/>
      <c r="I13" s="73"/>
      <c r="J13" s="73"/>
      <c r="K13" s="73"/>
      <c r="L13" s="29"/>
      <c r="M13" s="27"/>
      <c r="N13" s="27"/>
      <c r="O13" s="27"/>
      <c r="P13" s="27"/>
      <c r="Q13" s="27"/>
      <c r="R13" s="27"/>
      <c r="S13" s="27"/>
      <c r="T13" s="27"/>
      <c r="W13" s="29"/>
      <c r="Y13" s="29"/>
      <c r="Z13" s="29"/>
      <c r="AA13" s="29"/>
      <c r="AB13" s="29"/>
      <c r="AC13" s="29"/>
    </row>
    <row r="14" spans="1:52" s="75" customFormat="1" ht="12.75" x14ac:dyDescent="0.2">
      <c r="A14" s="73"/>
      <c r="B14" s="114" t="s">
        <v>232</v>
      </c>
      <c r="C14" s="73"/>
      <c r="D14" s="76"/>
      <c r="E14" s="73"/>
      <c r="F14" s="73"/>
      <c r="G14" s="77"/>
      <c r="H14" s="73"/>
      <c r="I14" s="73"/>
      <c r="J14" s="73"/>
      <c r="K14" s="73"/>
      <c r="M14" s="156"/>
      <c r="N14" s="156"/>
      <c r="O14" s="156"/>
      <c r="P14" s="156"/>
      <c r="Q14" s="156"/>
      <c r="R14" s="156"/>
      <c r="S14" s="156"/>
      <c r="T14" s="156"/>
      <c r="W14" s="159"/>
      <c r="Y14" s="159"/>
      <c r="Z14" s="159"/>
      <c r="AA14" s="159"/>
      <c r="AB14" s="159"/>
      <c r="AC14" s="159"/>
      <c r="AD14" s="159"/>
      <c r="AE14" s="159"/>
      <c r="AR14" s="75" t="s">
        <v>230</v>
      </c>
      <c r="AT14" s="75" t="s">
        <v>231</v>
      </c>
      <c r="AX14" s="79" t="s">
        <v>138</v>
      </c>
      <c r="AY14" s="77"/>
      <c r="AZ14" s="77"/>
    </row>
    <row r="15" spans="1:52" s="75" customFormat="1" ht="12.75" x14ac:dyDescent="0.2">
      <c r="A15" s="73"/>
      <c r="C15" s="73"/>
      <c r="D15" s="76"/>
      <c r="E15" s="73"/>
      <c r="F15" s="73"/>
      <c r="G15" s="73"/>
      <c r="H15" s="73"/>
      <c r="I15" s="73"/>
      <c r="J15" s="73"/>
      <c r="K15" s="73"/>
      <c r="M15" s="156"/>
      <c r="N15" s="156"/>
      <c r="O15" s="156"/>
      <c r="P15" s="156"/>
      <c r="Q15" s="156"/>
      <c r="R15" s="156"/>
      <c r="S15" s="156"/>
      <c r="T15" s="156"/>
      <c r="V15" s="88"/>
      <c r="Z15" s="159"/>
      <c r="AA15" s="83"/>
      <c r="AB15" s="83" t="s">
        <v>145</v>
      </c>
      <c r="AC15" s="83" t="s">
        <v>153</v>
      </c>
      <c r="AD15" s="83" t="s">
        <v>157</v>
      </c>
      <c r="AE15" s="83" t="s">
        <v>157</v>
      </c>
      <c r="AF15" s="159" t="s">
        <v>165</v>
      </c>
      <c r="AG15" s="159" t="s">
        <v>165</v>
      </c>
      <c r="AH15" s="83" t="s">
        <v>169</v>
      </c>
      <c r="AI15" s="159" t="s">
        <v>165</v>
      </c>
      <c r="AJ15" s="159" t="s">
        <v>165</v>
      </c>
      <c r="AK15" s="83" t="s">
        <v>169</v>
      </c>
      <c r="AL15" s="159" t="s">
        <v>168</v>
      </c>
      <c r="AM15" s="159" t="s">
        <v>168</v>
      </c>
      <c r="AN15" s="83" t="s">
        <v>169</v>
      </c>
      <c r="AO15" s="159" t="s">
        <v>170</v>
      </c>
      <c r="AP15" s="83" t="s">
        <v>169</v>
      </c>
      <c r="AQ15" s="83" t="s">
        <v>169</v>
      </c>
      <c r="AR15" s="83" t="s">
        <v>169</v>
      </c>
      <c r="AS15" s="83" t="s">
        <v>169</v>
      </c>
      <c r="AT15" s="83" t="s">
        <v>169</v>
      </c>
      <c r="AU15" s="83" t="s">
        <v>169</v>
      </c>
      <c r="AX15" s="79" t="s">
        <v>137</v>
      </c>
      <c r="AY15" s="77"/>
      <c r="AZ15" s="77"/>
    </row>
    <row r="16" spans="1:52" s="77" customFormat="1" ht="13.5" customHeight="1" x14ac:dyDescent="0.2">
      <c r="B16" s="75" t="s">
        <v>187</v>
      </c>
      <c r="L16" s="157"/>
      <c r="M16" s="156"/>
      <c r="N16" s="156"/>
      <c r="O16" s="156"/>
      <c r="P16" s="156"/>
      <c r="Q16" s="156"/>
      <c r="R16" s="156"/>
      <c r="S16" s="156"/>
      <c r="T16" s="156"/>
      <c r="U16" s="157"/>
      <c r="V16" s="88"/>
      <c r="W16" s="18"/>
      <c r="Z16" s="18"/>
      <c r="AA16" s="83" t="s">
        <v>148</v>
      </c>
      <c r="AB16" s="83" t="s">
        <v>150</v>
      </c>
      <c r="AC16" s="83" t="s">
        <v>155</v>
      </c>
      <c r="AD16" s="83" t="s">
        <v>158</v>
      </c>
      <c r="AE16" s="83" t="s">
        <v>161</v>
      </c>
      <c r="AF16" s="83" t="s">
        <v>158</v>
      </c>
      <c r="AG16" s="83" t="s">
        <v>161</v>
      </c>
      <c r="AH16" s="159" t="s">
        <v>165</v>
      </c>
      <c r="AI16" s="83" t="s">
        <v>158</v>
      </c>
      <c r="AJ16" s="83" t="s">
        <v>161</v>
      </c>
      <c r="AK16" s="159" t="s">
        <v>165</v>
      </c>
      <c r="AL16" s="83" t="s">
        <v>158</v>
      </c>
      <c r="AM16" s="83" t="s">
        <v>161</v>
      </c>
      <c r="AN16" s="83" t="s">
        <v>168</v>
      </c>
      <c r="AO16" s="171" t="s">
        <v>168</v>
      </c>
      <c r="AP16" s="159" t="s">
        <v>165</v>
      </c>
      <c r="AQ16" s="83" t="s">
        <v>168</v>
      </c>
      <c r="AR16" s="159" t="s">
        <v>165</v>
      </c>
      <c r="AS16" s="83" t="s">
        <v>168</v>
      </c>
      <c r="AT16" s="159" t="s">
        <v>165</v>
      </c>
      <c r="AU16" s="83" t="s">
        <v>168</v>
      </c>
      <c r="AX16" s="173">
        <v>0</v>
      </c>
      <c r="AY16" s="77" t="s">
        <v>136</v>
      </c>
    </row>
    <row r="17" spans="1:52" s="77" customFormat="1" ht="14.25" x14ac:dyDescent="0.25">
      <c r="B17" s="80" t="s">
        <v>123</v>
      </c>
      <c r="C17" s="96">
        <f>Analysis!C44</f>
        <v>104.16455158597188</v>
      </c>
      <c r="D17" s="110" t="s">
        <v>72</v>
      </c>
      <c r="E17" s="96"/>
      <c r="F17" s="111" t="s">
        <v>125</v>
      </c>
      <c r="G17" s="96">
        <f>Analysis!C47</f>
        <v>118.05315846410147</v>
      </c>
      <c r="H17" s="110" t="s">
        <v>72</v>
      </c>
      <c r="L17" s="157"/>
      <c r="M17" s="156"/>
      <c r="N17" s="156"/>
      <c r="O17" s="156"/>
      <c r="P17" s="156"/>
      <c r="Q17" s="156"/>
      <c r="R17" s="156"/>
      <c r="S17" s="156"/>
      <c r="T17" s="156"/>
      <c r="U17" s="157"/>
      <c r="V17" s="59"/>
      <c r="Y17" s="59" t="s">
        <v>145</v>
      </c>
      <c r="Z17" s="59" t="s">
        <v>145</v>
      </c>
      <c r="AA17" s="83" t="s">
        <v>145</v>
      </c>
      <c r="AB17" s="171" t="s">
        <v>154</v>
      </c>
      <c r="AC17" s="171" t="s">
        <v>154</v>
      </c>
      <c r="AD17" s="171" t="s">
        <v>153</v>
      </c>
      <c r="AE17" s="171" t="s">
        <v>153</v>
      </c>
      <c r="AF17" s="83" t="s">
        <v>153</v>
      </c>
      <c r="AG17" s="83" t="s">
        <v>153</v>
      </c>
      <c r="AH17" s="171"/>
      <c r="AI17" s="83" t="s">
        <v>153</v>
      </c>
      <c r="AJ17" s="83" t="s">
        <v>153</v>
      </c>
      <c r="AK17" s="171"/>
      <c r="AL17" s="83" t="s">
        <v>153</v>
      </c>
      <c r="AM17" s="83" t="s">
        <v>153</v>
      </c>
      <c r="AN17" s="83"/>
      <c r="AO17" s="171"/>
      <c r="AR17" s="171" t="s">
        <v>174</v>
      </c>
      <c r="AS17" s="171" t="s">
        <v>174</v>
      </c>
      <c r="AT17" s="171" t="s">
        <v>174</v>
      </c>
      <c r="AU17" s="171" t="s">
        <v>174</v>
      </c>
    </row>
    <row r="18" spans="1:52" s="77" customFormat="1" ht="14.25" x14ac:dyDescent="0.25">
      <c r="B18" s="80" t="s">
        <v>124</v>
      </c>
      <c r="C18" s="192">
        <f>Analysis!F43</f>
        <v>120</v>
      </c>
      <c r="D18" s="110" t="s">
        <v>72</v>
      </c>
      <c r="E18" s="96"/>
      <c r="F18" s="111" t="s">
        <v>126</v>
      </c>
      <c r="G18" s="192">
        <f>Analysis!F46</f>
        <v>160</v>
      </c>
      <c r="H18" s="110" t="s">
        <v>72</v>
      </c>
      <c r="L18" s="157"/>
      <c r="M18" s="156"/>
      <c r="N18" s="156"/>
      <c r="O18" s="156"/>
      <c r="P18" s="156"/>
      <c r="Q18" s="156"/>
      <c r="R18" s="156"/>
      <c r="S18" s="156"/>
      <c r="T18" s="156"/>
      <c r="U18" s="157"/>
      <c r="V18" s="29" t="s">
        <v>145</v>
      </c>
      <c r="Y18" s="29" t="s">
        <v>146</v>
      </c>
      <c r="Z18" s="29" t="s">
        <v>147</v>
      </c>
      <c r="AA18" s="83" t="s">
        <v>149</v>
      </c>
      <c r="AB18" s="159" t="s">
        <v>149</v>
      </c>
      <c r="AC18" s="159" t="s">
        <v>149</v>
      </c>
      <c r="AD18" s="83" t="s">
        <v>159</v>
      </c>
      <c r="AE18" s="83" t="s">
        <v>159</v>
      </c>
      <c r="AF18" s="83" t="s">
        <v>159</v>
      </c>
      <c r="AG18" s="83" t="s">
        <v>159</v>
      </c>
      <c r="AH18" s="171"/>
      <c r="AI18" s="83" t="s">
        <v>159</v>
      </c>
      <c r="AJ18" s="83" t="s">
        <v>159</v>
      </c>
      <c r="AK18" s="171"/>
      <c r="AL18" s="83" t="s">
        <v>159</v>
      </c>
      <c r="AM18" s="83" t="s">
        <v>159</v>
      </c>
      <c r="AN18" s="83"/>
      <c r="AO18" s="171"/>
      <c r="AR18" s="171" t="s">
        <v>175</v>
      </c>
      <c r="AS18" s="171" t="s">
        <v>175</v>
      </c>
      <c r="AT18" s="171" t="s">
        <v>175</v>
      </c>
      <c r="AU18" s="171" t="s">
        <v>175</v>
      </c>
    </row>
    <row r="19" spans="1:52" s="77" customFormat="1" ht="12.75" x14ac:dyDescent="0.2">
      <c r="A19" s="73"/>
      <c r="B19" s="73"/>
      <c r="C19" s="73"/>
      <c r="D19" s="76"/>
      <c r="E19" s="73"/>
      <c r="F19" s="73"/>
      <c r="G19" s="73"/>
      <c r="H19" s="73"/>
      <c r="I19" s="73"/>
      <c r="J19" s="73"/>
      <c r="K19" s="73"/>
      <c r="L19" s="157"/>
      <c r="M19" s="156"/>
      <c r="N19" s="156"/>
      <c r="O19" s="156"/>
      <c r="P19" s="156"/>
      <c r="Q19" s="156"/>
      <c r="R19" s="156"/>
      <c r="S19" s="156"/>
      <c r="T19" s="156"/>
      <c r="U19" s="157"/>
      <c r="Y19" s="171" t="s">
        <v>156</v>
      </c>
      <c r="Z19" s="171" t="s">
        <v>156</v>
      </c>
      <c r="AA19" s="171" t="s">
        <v>156</v>
      </c>
      <c r="AB19" s="171" t="s">
        <v>156</v>
      </c>
      <c r="AC19" s="171" t="s">
        <v>156</v>
      </c>
      <c r="AD19" s="171" t="s">
        <v>162</v>
      </c>
      <c r="AE19" s="171" t="s">
        <v>162</v>
      </c>
      <c r="AF19" s="83" t="s">
        <v>166</v>
      </c>
      <c r="AG19" s="83" t="s">
        <v>166</v>
      </c>
      <c r="AH19" s="83" t="s">
        <v>166</v>
      </c>
      <c r="AI19" s="83" t="s">
        <v>166</v>
      </c>
      <c r="AJ19" s="83" t="s">
        <v>166</v>
      </c>
      <c r="AK19" s="83" t="s">
        <v>166</v>
      </c>
      <c r="AL19" s="83" t="s">
        <v>177</v>
      </c>
      <c r="AM19" s="83" t="s">
        <v>177</v>
      </c>
      <c r="AN19" s="83" t="s">
        <v>177</v>
      </c>
      <c r="AO19" s="83" t="s">
        <v>177</v>
      </c>
      <c r="AP19" s="83" t="s">
        <v>166</v>
      </c>
      <c r="AQ19" s="83" t="s">
        <v>177</v>
      </c>
      <c r="AR19" s="83" t="s">
        <v>176</v>
      </c>
      <c r="AS19" s="83" t="s">
        <v>178</v>
      </c>
      <c r="AT19" s="83" t="s">
        <v>176</v>
      </c>
      <c r="AU19" s="83" t="s">
        <v>178</v>
      </c>
    </row>
    <row r="20" spans="1:52" s="77" customFormat="1" ht="12.75" x14ac:dyDescent="0.2">
      <c r="B20" s="77" t="s">
        <v>127</v>
      </c>
      <c r="L20" s="157"/>
      <c r="M20" s="156"/>
      <c r="N20" s="156"/>
      <c r="O20" s="156"/>
      <c r="P20" s="156"/>
      <c r="Q20" s="156"/>
      <c r="R20" s="156"/>
      <c r="S20" s="156"/>
      <c r="T20" s="156"/>
      <c r="U20" s="157"/>
      <c r="V20" s="159">
        <v>1</v>
      </c>
      <c r="W20" s="168">
        <f t="shared" ref="W20:W49" si="0">$E$47-Y20</f>
        <v>1.5</v>
      </c>
      <c r="X20" s="168">
        <f>-W20</f>
        <v>-1.5</v>
      </c>
      <c r="Y20" s="178">
        <f>0</f>
        <v>0</v>
      </c>
      <c r="Z20" s="178">
        <f>Y11</f>
        <v>0.05</v>
      </c>
      <c r="AA20" s="84">
        <f>(Y20+Z20)/2</f>
        <v>2.5000000000000001E-2</v>
      </c>
      <c r="AB20" s="178">
        <f t="shared" ref="AB20:AB51" si="1">$AB$11*AA20+$AB$12</f>
        <v>0.50416666666666665</v>
      </c>
      <c r="AC20" s="178">
        <f t="shared" ref="AC20:AC50" si="2">$AC$11*AA20+$AC$12</f>
        <v>0</v>
      </c>
      <c r="AD20" s="178">
        <f t="shared" ref="AD20:AD50" si="3">AC20*$Y$11</f>
        <v>0</v>
      </c>
      <c r="AE20" s="181">
        <f t="shared" ref="AE20:AE50" si="4">(AB20-AC20)*$Y$11</f>
        <v>2.5208333333333333E-2</v>
      </c>
      <c r="AF20" s="182">
        <f>AD20</f>
        <v>0</v>
      </c>
      <c r="AG20" s="162">
        <f>AE20*$C$32</f>
        <v>1.4291118800461362</v>
      </c>
      <c r="AH20" s="181">
        <f>AF20+AG20</f>
        <v>1.4291118800461362</v>
      </c>
      <c r="AI20" s="180">
        <f t="shared" ref="AI20:AI50" si="5">AF20*$AJ$12</f>
        <v>0</v>
      </c>
      <c r="AJ20" s="180">
        <f t="shared" ref="AJ20:AJ50" si="6">AG20*$AJ$12</f>
        <v>2.4548257952824063E-2</v>
      </c>
      <c r="AK20" s="180">
        <f t="shared" ref="AK20:AK50" si="7">AH20*$AJ$12</f>
        <v>2.4548257952824063E-2</v>
      </c>
      <c r="AL20" s="183">
        <f>AI20*AC20/2</f>
        <v>0</v>
      </c>
      <c r="AM20" s="183">
        <f>-(((AK20/3)*AB20/3)+((2*AK20/3)*AB20/2))</f>
        <v>-5.500628170910577E-3</v>
      </c>
      <c r="AN20" s="186">
        <f>AL20+AM20</f>
        <v>-5.500628170910577E-3</v>
      </c>
      <c r="AO20" s="180">
        <f>SUM($AN$19:AN20)</f>
        <v>-5.500628170910577E-3</v>
      </c>
      <c r="AP20" s="181">
        <f t="shared" ref="AP20:AP50" si="8">AK20*$AP$12</f>
        <v>1.3916908591663304</v>
      </c>
      <c r="AQ20" s="181">
        <f t="shared" ref="AQ20:AQ50" si="9">AN20*$AP$12</f>
        <v>-0.31184184066504811</v>
      </c>
      <c r="AR20" s="188">
        <f t="shared" ref="AR20:AR50" si="10">AP20/$Y$11</f>
        <v>27.833817183326605</v>
      </c>
      <c r="AS20" s="188">
        <f t="shared" ref="AS20:AS50" si="11">AQ20/$Y$11</f>
        <v>-6.236836813300962</v>
      </c>
      <c r="AT20" s="188">
        <f>-0.25*AR20</f>
        <v>-6.9584542958316513</v>
      </c>
      <c r="AU20" s="188">
        <f>-0.25*AS20</f>
        <v>1.5592092033252405</v>
      </c>
      <c r="AZ20" s="103" t="s">
        <v>244</v>
      </c>
    </row>
    <row r="21" spans="1:52" s="77" customFormat="1" ht="12.75" x14ac:dyDescent="0.2">
      <c r="B21" s="80" t="s">
        <v>82</v>
      </c>
      <c r="C21" s="77" t="str">
        <f>[1]!xln(C22)</f>
        <v>(120 / 104)²</v>
      </c>
      <c r="F21" s="80" t="s">
        <v>82</v>
      </c>
      <c r="G21" s="77" t="str">
        <f>[1]!xln(G22)</f>
        <v>(160 / 118)²</v>
      </c>
      <c r="L21" s="157"/>
      <c r="M21" s="156"/>
      <c r="N21" s="156"/>
      <c r="O21" s="156"/>
      <c r="P21" s="156"/>
      <c r="Q21" s="156"/>
      <c r="R21" s="156"/>
      <c r="S21" s="156"/>
      <c r="T21" s="156"/>
      <c r="U21" s="157"/>
      <c r="V21" s="88">
        <v>2</v>
      </c>
      <c r="W21" s="168">
        <f t="shared" si="0"/>
        <v>1.45</v>
      </c>
      <c r="X21" s="168">
        <f t="shared" ref="X21:X50" si="12">-W21</f>
        <v>-1.45</v>
      </c>
      <c r="Y21" s="178">
        <f>Z20</f>
        <v>0.05</v>
      </c>
      <c r="Z21" s="84">
        <f t="shared" ref="Z21:Z51" si="13">Y21+$Y$11</f>
        <v>0.1</v>
      </c>
      <c r="AA21" s="84">
        <f t="shared" ref="AA21:AA51" si="14">(Y21+Z21)/2</f>
        <v>7.5000000000000011E-2</v>
      </c>
      <c r="AB21" s="178">
        <f t="shared" si="1"/>
        <v>0.51249999999999996</v>
      </c>
      <c r="AC21" s="178">
        <f t="shared" si="2"/>
        <v>0</v>
      </c>
      <c r="AD21" s="178">
        <f t="shared" si="3"/>
        <v>0</v>
      </c>
      <c r="AE21" s="181">
        <f t="shared" si="4"/>
        <v>2.5624999999999998E-2</v>
      </c>
      <c r="AF21" s="182">
        <f t="shared" ref="AF21:AF50" si="15">AD21</f>
        <v>0</v>
      </c>
      <c r="AG21" s="162">
        <f t="shared" ref="AG21:AG50" si="16">AE21*$C$32</f>
        <v>1.4527335640138408</v>
      </c>
      <c r="AH21" s="181">
        <f t="shared" ref="AH21:AH50" si="17">AF21+AG21</f>
        <v>1.4527335640138408</v>
      </c>
      <c r="AI21" s="180">
        <f t="shared" si="5"/>
        <v>0</v>
      </c>
      <c r="AJ21" s="180">
        <f t="shared" si="6"/>
        <v>2.4954014282622807E-2</v>
      </c>
      <c r="AK21" s="180">
        <f t="shared" si="7"/>
        <v>2.4954014282622807E-2</v>
      </c>
      <c r="AL21" s="183">
        <f>AI21*AC21/2</f>
        <v>0</v>
      </c>
      <c r="AM21" s="183">
        <f t="shared" ref="AM21:AM51" si="18">-(((AK21/3)*AB21/3)+((2*AK21/3)*AB21/2))</f>
        <v>-5.6839699199307502E-3</v>
      </c>
      <c r="AN21" s="186">
        <f t="shared" ref="AN21:AN50" si="19">AL21+AM21</f>
        <v>-5.6839699199307502E-3</v>
      </c>
      <c r="AO21" s="180">
        <f>SUM($AN$19:AN21)</f>
        <v>-1.1184598090841328E-2</v>
      </c>
      <c r="AP21" s="181">
        <f t="shared" si="8"/>
        <v>1.4146940138632944</v>
      </c>
      <c r="AQ21" s="181">
        <f t="shared" si="9"/>
        <v>-0.32223585871330596</v>
      </c>
      <c r="AR21" s="188">
        <f t="shared" si="10"/>
        <v>28.293880277265888</v>
      </c>
      <c r="AS21" s="188">
        <f t="shared" si="11"/>
        <v>-6.4447171742661187</v>
      </c>
      <c r="AT21" s="188">
        <f t="shared" ref="AT21:AU50" si="20">-0.25*AR21</f>
        <v>-7.073470069316472</v>
      </c>
      <c r="AU21" s="188">
        <f t="shared" si="20"/>
        <v>1.6111792935665297</v>
      </c>
      <c r="AZ21" s="103" t="s">
        <v>137</v>
      </c>
    </row>
    <row r="22" spans="1:52" s="77" customFormat="1" ht="12.75" x14ac:dyDescent="0.2">
      <c r="B22" s="80" t="s">
        <v>82</v>
      </c>
      <c r="C22" s="115">
        <f>(C18/C17)^2</f>
        <v>1.3271578947368421</v>
      </c>
      <c r="D22" s="170"/>
      <c r="E22" s="170"/>
      <c r="F22" s="136" t="s">
        <v>82</v>
      </c>
      <c r="G22" s="115">
        <f>(G18/G17)^2</f>
        <v>1.8368967401201968</v>
      </c>
      <c r="L22" s="157"/>
      <c r="M22" s="156"/>
      <c r="N22" s="156"/>
      <c r="O22" s="156"/>
      <c r="P22" s="156"/>
      <c r="Q22" s="156"/>
      <c r="R22" s="156"/>
      <c r="S22" s="156"/>
      <c r="T22" s="156"/>
      <c r="U22" s="157"/>
      <c r="V22" s="88">
        <v>3</v>
      </c>
      <c r="W22" s="168">
        <f t="shared" si="0"/>
        <v>1.4</v>
      </c>
      <c r="X22" s="168">
        <f t="shared" si="12"/>
        <v>-1.4</v>
      </c>
      <c r="Y22" s="178">
        <f t="shared" ref="Y22:Y49" si="21">Z21</f>
        <v>0.1</v>
      </c>
      <c r="Z22" s="84">
        <f t="shared" si="13"/>
        <v>0.15000000000000002</v>
      </c>
      <c r="AA22" s="84">
        <f t="shared" si="14"/>
        <v>0.125</v>
      </c>
      <c r="AB22" s="178">
        <f t="shared" si="1"/>
        <v>0.52083333333333337</v>
      </c>
      <c r="AC22" s="178">
        <f t="shared" si="2"/>
        <v>0</v>
      </c>
      <c r="AD22" s="178">
        <f t="shared" si="3"/>
        <v>0</v>
      </c>
      <c r="AE22" s="181">
        <f t="shared" si="4"/>
        <v>2.6041666666666671E-2</v>
      </c>
      <c r="AF22" s="182">
        <f t="shared" si="15"/>
        <v>0</v>
      </c>
      <c r="AG22" s="162">
        <f t="shared" si="16"/>
        <v>1.4763552479815458</v>
      </c>
      <c r="AH22" s="181">
        <f t="shared" si="17"/>
        <v>1.4763552479815458</v>
      </c>
      <c r="AI22" s="180">
        <f t="shared" si="5"/>
        <v>0</v>
      </c>
      <c r="AJ22" s="180">
        <f t="shared" si="6"/>
        <v>2.5359770612421555E-2</v>
      </c>
      <c r="AK22" s="180">
        <f t="shared" si="7"/>
        <v>2.5359770612421555E-2</v>
      </c>
      <c r="AL22" s="183">
        <f t="shared" ref="AL22:AL50" si="22">AI22*AC22/2</f>
        <v>0</v>
      </c>
      <c r="AM22" s="183">
        <f t="shared" si="18"/>
        <v>-5.8703172713938786E-3</v>
      </c>
      <c r="AN22" s="186">
        <f t="shared" si="19"/>
        <v>-5.8703172713938786E-3</v>
      </c>
      <c r="AO22" s="180">
        <f>SUM($AN$19:AN22)</f>
        <v>-1.7054915362235207E-2</v>
      </c>
      <c r="AP22" s="181">
        <f t="shared" si="8"/>
        <v>1.4376971685602586</v>
      </c>
      <c r="AQ22" s="181">
        <f t="shared" si="9"/>
        <v>-0.33280027050005989</v>
      </c>
      <c r="AR22" s="188">
        <f t="shared" si="10"/>
        <v>28.753943371205171</v>
      </c>
      <c r="AS22" s="188">
        <f t="shared" si="11"/>
        <v>-6.6560054100011978</v>
      </c>
      <c r="AT22" s="188">
        <f t="shared" si="20"/>
        <v>-7.1884858428012928</v>
      </c>
      <c r="AU22" s="188">
        <f t="shared" si="20"/>
        <v>1.6640013525002995</v>
      </c>
      <c r="AY22" s="173">
        <v>0</v>
      </c>
      <c r="AZ22" s="77" t="s">
        <v>136</v>
      </c>
    </row>
    <row r="23" spans="1:52" s="77" customFormat="1" ht="12.75" x14ac:dyDescent="0.2">
      <c r="B23" s="76"/>
      <c r="C23" s="76"/>
      <c r="D23" s="101"/>
      <c r="F23" s="80"/>
      <c r="L23" s="157"/>
      <c r="M23" s="156"/>
      <c r="N23" s="156"/>
      <c r="O23" s="156"/>
      <c r="P23" s="156"/>
      <c r="Q23" s="156"/>
      <c r="R23" s="156"/>
      <c r="S23" s="156"/>
      <c r="T23" s="156"/>
      <c r="U23" s="157"/>
      <c r="V23" s="88">
        <v>4</v>
      </c>
      <c r="W23" s="168">
        <f t="shared" si="0"/>
        <v>1.35</v>
      </c>
      <c r="X23" s="168">
        <f t="shared" si="12"/>
        <v>-1.35</v>
      </c>
      <c r="Y23" s="178">
        <f t="shared" si="21"/>
        <v>0.15000000000000002</v>
      </c>
      <c r="Z23" s="84">
        <f t="shared" si="13"/>
        <v>0.2</v>
      </c>
      <c r="AA23" s="84">
        <f t="shared" si="14"/>
        <v>0.17500000000000002</v>
      </c>
      <c r="AB23" s="178">
        <f t="shared" si="1"/>
        <v>0.52916666666666667</v>
      </c>
      <c r="AC23" s="178">
        <f t="shared" si="2"/>
        <v>0</v>
      </c>
      <c r="AD23" s="178">
        <f t="shared" si="3"/>
        <v>0</v>
      </c>
      <c r="AE23" s="181">
        <f t="shared" si="4"/>
        <v>2.6458333333333334E-2</v>
      </c>
      <c r="AF23" s="182">
        <f t="shared" si="15"/>
        <v>0</v>
      </c>
      <c r="AG23" s="162">
        <f t="shared" si="16"/>
        <v>1.4999769319492504</v>
      </c>
      <c r="AH23" s="181">
        <f t="shared" si="17"/>
        <v>1.4999769319492504</v>
      </c>
      <c r="AI23" s="180">
        <f t="shared" si="5"/>
        <v>0</v>
      </c>
      <c r="AJ23" s="180">
        <f t="shared" si="6"/>
        <v>2.5765526942220299E-2</v>
      </c>
      <c r="AK23" s="180">
        <f t="shared" si="7"/>
        <v>2.5765526942220299E-2</v>
      </c>
      <c r="AL23" s="183">
        <f t="shared" si="22"/>
        <v>0</v>
      </c>
      <c r="AM23" s="183">
        <f t="shared" si="18"/>
        <v>-6.0596702252999598E-3</v>
      </c>
      <c r="AN23" s="186">
        <f t="shared" si="19"/>
        <v>-6.0596702252999598E-3</v>
      </c>
      <c r="AO23" s="180">
        <f>SUM($AN$19:AN23)</f>
        <v>-2.3114585587535166E-2</v>
      </c>
      <c r="AP23" s="181">
        <f t="shared" si="8"/>
        <v>1.4607003232572229</v>
      </c>
      <c r="AQ23" s="181">
        <f t="shared" si="9"/>
        <v>-0.34353507602530986</v>
      </c>
      <c r="AR23" s="188">
        <f t="shared" si="10"/>
        <v>29.214006465144458</v>
      </c>
      <c r="AS23" s="188">
        <f t="shared" si="11"/>
        <v>-6.8707015205061968</v>
      </c>
      <c r="AT23" s="188">
        <f t="shared" si="20"/>
        <v>-7.3035016162861144</v>
      </c>
      <c r="AU23" s="188">
        <f t="shared" si="20"/>
        <v>1.7176753801265492</v>
      </c>
    </row>
    <row r="24" spans="1:52" s="77" customFormat="1" ht="12.75" x14ac:dyDescent="0.2">
      <c r="A24" s="73"/>
      <c r="B24" s="77" t="s">
        <v>129</v>
      </c>
      <c r="G24" s="73"/>
      <c r="K24" s="73"/>
      <c r="L24" s="157"/>
      <c r="M24" s="156"/>
      <c r="N24" s="156"/>
      <c r="O24" s="156"/>
      <c r="P24" s="156"/>
      <c r="Q24" s="156"/>
      <c r="R24" s="156"/>
      <c r="S24" s="156"/>
      <c r="T24" s="156"/>
      <c r="U24" s="157"/>
      <c r="V24" s="88">
        <v>5</v>
      </c>
      <c r="W24" s="168">
        <f t="shared" si="0"/>
        <v>1.3</v>
      </c>
      <c r="X24" s="168">
        <f t="shared" si="12"/>
        <v>-1.3</v>
      </c>
      <c r="Y24" s="178">
        <f t="shared" si="21"/>
        <v>0.2</v>
      </c>
      <c r="Z24" s="84">
        <f t="shared" si="13"/>
        <v>0.25</v>
      </c>
      <c r="AA24" s="84">
        <f t="shared" si="14"/>
        <v>0.22500000000000001</v>
      </c>
      <c r="AB24" s="178">
        <f t="shared" si="1"/>
        <v>0.53749999999999998</v>
      </c>
      <c r="AC24" s="178">
        <f t="shared" si="2"/>
        <v>0</v>
      </c>
      <c r="AD24" s="178">
        <f t="shared" si="3"/>
        <v>0</v>
      </c>
      <c r="AE24" s="181">
        <f t="shared" si="4"/>
        <v>2.6875E-2</v>
      </c>
      <c r="AF24" s="182">
        <f t="shared" si="15"/>
        <v>0</v>
      </c>
      <c r="AG24" s="162">
        <f t="shared" si="16"/>
        <v>1.523598615916955</v>
      </c>
      <c r="AH24" s="181">
        <f t="shared" si="17"/>
        <v>1.523598615916955</v>
      </c>
      <c r="AI24" s="180">
        <f t="shared" si="5"/>
        <v>0</v>
      </c>
      <c r="AJ24" s="180">
        <f t="shared" si="6"/>
        <v>2.6171283272019039E-2</v>
      </c>
      <c r="AK24" s="180">
        <f t="shared" si="7"/>
        <v>2.6171283272019039E-2</v>
      </c>
      <c r="AL24" s="183">
        <f t="shared" si="22"/>
        <v>0</v>
      </c>
      <c r="AM24" s="183">
        <f t="shared" si="18"/>
        <v>-6.2520287816489918E-3</v>
      </c>
      <c r="AN24" s="186">
        <f t="shared" si="19"/>
        <v>-6.2520287816489918E-3</v>
      </c>
      <c r="AO24" s="180">
        <f>SUM($AN$19:AN24)</f>
        <v>-2.9366614369184158E-2</v>
      </c>
      <c r="AP24" s="181">
        <f t="shared" si="8"/>
        <v>1.4837034779541867</v>
      </c>
      <c r="AQ24" s="181">
        <f t="shared" si="9"/>
        <v>-0.35444027528905564</v>
      </c>
      <c r="AR24" s="188">
        <f t="shared" si="10"/>
        <v>29.674069559083733</v>
      </c>
      <c r="AS24" s="188">
        <f t="shared" si="11"/>
        <v>-7.0888055057811128</v>
      </c>
      <c r="AT24" s="188">
        <f t="shared" si="20"/>
        <v>-7.4185173897709333</v>
      </c>
      <c r="AU24" s="188">
        <f t="shared" si="20"/>
        <v>1.7722013764452782</v>
      </c>
    </row>
    <row r="25" spans="1:52" s="77" customFormat="1" ht="12.75" x14ac:dyDescent="0.2">
      <c r="A25" s="73"/>
      <c r="B25" s="80" t="s">
        <v>82</v>
      </c>
      <c r="C25" s="115">
        <f>MAX(C22,G22)</f>
        <v>1.8368967401201968</v>
      </c>
      <c r="G25" s="73"/>
      <c r="K25" s="73"/>
      <c r="L25" s="157"/>
      <c r="M25" s="156"/>
      <c r="N25" s="156"/>
      <c r="O25" s="156"/>
      <c r="P25" s="156"/>
      <c r="Q25" s="156"/>
      <c r="R25" s="156"/>
      <c r="S25" s="156"/>
      <c r="T25" s="156"/>
      <c r="U25" s="157"/>
      <c r="V25" s="88">
        <v>6</v>
      </c>
      <c r="W25" s="168">
        <f t="shared" si="0"/>
        <v>1.25</v>
      </c>
      <c r="X25" s="168">
        <f t="shared" si="12"/>
        <v>-1.25</v>
      </c>
      <c r="Y25" s="178">
        <f t="shared" si="21"/>
        <v>0.25</v>
      </c>
      <c r="Z25" s="84">
        <f t="shared" si="13"/>
        <v>0.3</v>
      </c>
      <c r="AA25" s="84">
        <f t="shared" si="14"/>
        <v>0.27500000000000002</v>
      </c>
      <c r="AB25" s="178">
        <f t="shared" si="1"/>
        <v>0.54583333333333339</v>
      </c>
      <c r="AC25" s="178">
        <f t="shared" si="2"/>
        <v>0</v>
      </c>
      <c r="AD25" s="178">
        <f t="shared" si="3"/>
        <v>0</v>
      </c>
      <c r="AE25" s="181">
        <f t="shared" si="4"/>
        <v>2.7291666666666672E-2</v>
      </c>
      <c r="AF25" s="182">
        <f t="shared" si="15"/>
        <v>0</v>
      </c>
      <c r="AG25" s="162">
        <f t="shared" si="16"/>
        <v>1.54722029988466</v>
      </c>
      <c r="AH25" s="181">
        <f t="shared" si="17"/>
        <v>1.54722029988466</v>
      </c>
      <c r="AI25" s="180">
        <f t="shared" si="5"/>
        <v>0</v>
      </c>
      <c r="AJ25" s="180">
        <f t="shared" si="6"/>
        <v>2.657703960181779E-2</v>
      </c>
      <c r="AK25" s="180">
        <f t="shared" si="7"/>
        <v>2.657703960181779E-2</v>
      </c>
      <c r="AL25" s="183">
        <f t="shared" si="22"/>
        <v>0</v>
      </c>
      <c r="AM25" s="183">
        <f t="shared" si="18"/>
        <v>-6.4473929404409826E-3</v>
      </c>
      <c r="AN25" s="186">
        <f t="shared" si="19"/>
        <v>-6.4473929404409826E-3</v>
      </c>
      <c r="AO25" s="180">
        <f>SUM($AN$19:AN25)</f>
        <v>-3.581400730962514E-2</v>
      </c>
      <c r="AP25" s="181">
        <f t="shared" si="8"/>
        <v>1.5067066326511511</v>
      </c>
      <c r="AQ25" s="181">
        <f t="shared" si="9"/>
        <v>-0.36551586829129779</v>
      </c>
      <c r="AR25" s="188">
        <f t="shared" si="10"/>
        <v>30.13413265302302</v>
      </c>
      <c r="AS25" s="188">
        <f t="shared" si="11"/>
        <v>-7.3103173658259557</v>
      </c>
      <c r="AT25" s="188">
        <f t="shared" si="20"/>
        <v>-7.5335331632557549</v>
      </c>
      <c r="AU25" s="188">
        <f t="shared" si="20"/>
        <v>1.8275793414564889</v>
      </c>
    </row>
    <row r="26" spans="1:52" s="77" customFormat="1" ht="12.75" x14ac:dyDescent="0.2">
      <c r="A26" s="79"/>
      <c r="I26" s="73"/>
      <c r="J26" s="73"/>
      <c r="K26" s="73"/>
      <c r="L26" s="157"/>
      <c r="M26" s="156"/>
      <c r="N26" s="156"/>
      <c r="O26" s="156"/>
      <c r="P26" s="156"/>
      <c r="Q26" s="156"/>
      <c r="R26" s="156"/>
      <c r="S26" s="156"/>
      <c r="T26" s="156"/>
      <c r="U26" s="157"/>
      <c r="V26" s="88">
        <v>7</v>
      </c>
      <c r="W26" s="168">
        <f t="shared" si="0"/>
        <v>1.2</v>
      </c>
      <c r="X26" s="168">
        <f t="shared" si="12"/>
        <v>-1.2</v>
      </c>
      <c r="Y26" s="178">
        <f t="shared" si="21"/>
        <v>0.3</v>
      </c>
      <c r="Z26" s="84">
        <f t="shared" si="13"/>
        <v>0.35</v>
      </c>
      <c r="AA26" s="84">
        <f t="shared" si="14"/>
        <v>0.32499999999999996</v>
      </c>
      <c r="AB26" s="178">
        <f t="shared" si="1"/>
        <v>0.5541666666666667</v>
      </c>
      <c r="AC26" s="178">
        <f t="shared" si="2"/>
        <v>0</v>
      </c>
      <c r="AD26" s="178">
        <f t="shared" si="3"/>
        <v>0</v>
      </c>
      <c r="AE26" s="181">
        <f t="shared" si="4"/>
        <v>2.7708333333333335E-2</v>
      </c>
      <c r="AF26" s="182">
        <f t="shared" si="15"/>
        <v>0</v>
      </c>
      <c r="AG26" s="162">
        <f t="shared" si="16"/>
        <v>1.5708419838523646</v>
      </c>
      <c r="AH26" s="181">
        <f t="shared" si="17"/>
        <v>1.5708419838523646</v>
      </c>
      <c r="AI26" s="180">
        <f t="shared" si="5"/>
        <v>0</v>
      </c>
      <c r="AJ26" s="180">
        <f t="shared" si="6"/>
        <v>2.6982795931616534E-2</v>
      </c>
      <c r="AK26" s="180">
        <f t="shared" si="7"/>
        <v>2.6982795931616534E-2</v>
      </c>
      <c r="AL26" s="183">
        <f t="shared" si="22"/>
        <v>0</v>
      </c>
      <c r="AM26" s="183">
        <f t="shared" si="18"/>
        <v>-6.6457627016759243E-3</v>
      </c>
      <c r="AN26" s="186">
        <f t="shared" si="19"/>
        <v>-6.6457627016759243E-3</v>
      </c>
      <c r="AO26" s="180">
        <f>SUM($AN$19:AN26)</f>
        <v>-4.2459770011301065E-2</v>
      </c>
      <c r="AP26" s="181">
        <f t="shared" si="8"/>
        <v>1.5297097873481154</v>
      </c>
      <c r="AQ26" s="181">
        <f t="shared" si="9"/>
        <v>-0.3767618550320358</v>
      </c>
      <c r="AR26" s="188">
        <f t="shared" si="10"/>
        <v>30.594195746962306</v>
      </c>
      <c r="AS26" s="188">
        <f t="shared" si="11"/>
        <v>-7.5352371006407157</v>
      </c>
      <c r="AT26" s="188">
        <f t="shared" si="20"/>
        <v>-7.6485489367405766</v>
      </c>
      <c r="AU26" s="188">
        <f t="shared" si="20"/>
        <v>1.8838092751601789</v>
      </c>
    </row>
    <row r="27" spans="1:52" s="77" customFormat="1" ht="12.75" x14ac:dyDescent="0.2">
      <c r="B27" s="77" t="s">
        <v>233</v>
      </c>
      <c r="L27" s="157"/>
      <c r="M27" s="156"/>
      <c r="N27" s="156"/>
      <c r="O27" s="156"/>
      <c r="P27" s="156"/>
      <c r="Q27" s="156"/>
      <c r="R27" s="156"/>
      <c r="S27" s="156"/>
      <c r="T27" s="156"/>
      <c r="U27" s="157"/>
      <c r="V27" s="88">
        <v>8</v>
      </c>
      <c r="W27" s="168">
        <f t="shared" si="0"/>
        <v>1.1499999999999999</v>
      </c>
      <c r="X27" s="168">
        <f t="shared" si="12"/>
        <v>-1.1499999999999999</v>
      </c>
      <c r="Y27" s="178">
        <f t="shared" si="21"/>
        <v>0.35</v>
      </c>
      <c r="Z27" s="84">
        <f t="shared" si="13"/>
        <v>0.39999999999999997</v>
      </c>
      <c r="AA27" s="84">
        <f t="shared" si="14"/>
        <v>0.375</v>
      </c>
      <c r="AB27" s="178">
        <f t="shared" si="1"/>
        <v>0.5625</v>
      </c>
      <c r="AC27" s="178">
        <f t="shared" si="2"/>
        <v>0</v>
      </c>
      <c r="AD27" s="178">
        <f t="shared" si="3"/>
        <v>0</v>
      </c>
      <c r="AE27" s="181">
        <f t="shared" si="4"/>
        <v>2.8125000000000001E-2</v>
      </c>
      <c r="AF27" s="182">
        <f t="shared" si="15"/>
        <v>0</v>
      </c>
      <c r="AG27" s="162">
        <f t="shared" si="16"/>
        <v>1.5944636678200692</v>
      </c>
      <c r="AH27" s="181">
        <f t="shared" si="17"/>
        <v>1.5944636678200692</v>
      </c>
      <c r="AI27" s="180">
        <f t="shared" si="5"/>
        <v>0</v>
      </c>
      <c r="AJ27" s="180">
        <f t="shared" si="6"/>
        <v>2.7388552261415275E-2</v>
      </c>
      <c r="AK27" s="180">
        <f t="shared" si="7"/>
        <v>2.7388552261415275E-2</v>
      </c>
      <c r="AL27" s="183">
        <f t="shared" si="22"/>
        <v>0</v>
      </c>
      <c r="AM27" s="183">
        <f t="shared" si="18"/>
        <v>-6.8471380653538187E-3</v>
      </c>
      <c r="AN27" s="186">
        <f t="shared" si="19"/>
        <v>-6.8471380653538187E-3</v>
      </c>
      <c r="AO27" s="180">
        <f>SUM($AN$19:AN27)</f>
        <v>-4.9306908076654887E-2</v>
      </c>
      <c r="AP27" s="181">
        <f t="shared" si="8"/>
        <v>1.5527129420450791</v>
      </c>
      <c r="AQ27" s="181">
        <f t="shared" si="9"/>
        <v>-0.38817823551126979</v>
      </c>
      <c r="AR27" s="188">
        <f t="shared" si="10"/>
        <v>31.054258840901582</v>
      </c>
      <c r="AS27" s="188">
        <f t="shared" si="11"/>
        <v>-7.7635647102253955</v>
      </c>
      <c r="AT27" s="188">
        <f t="shared" si="20"/>
        <v>-7.7635647102253955</v>
      </c>
      <c r="AU27" s="188">
        <f t="shared" si="20"/>
        <v>1.9408911775563489</v>
      </c>
    </row>
    <row r="28" spans="1:52" s="77" customFormat="1" ht="12.75" x14ac:dyDescent="0.2">
      <c r="B28" s="77" t="s">
        <v>130</v>
      </c>
      <c r="L28" s="157"/>
      <c r="M28" s="156"/>
      <c r="N28" s="156"/>
      <c r="O28" s="156"/>
      <c r="P28" s="156"/>
      <c r="Q28" s="156"/>
      <c r="R28" s="156"/>
      <c r="S28" s="156"/>
      <c r="T28" s="156"/>
      <c r="U28" s="157"/>
      <c r="V28" s="88">
        <v>9</v>
      </c>
      <c r="W28" s="168">
        <f t="shared" si="0"/>
        <v>1.1000000000000001</v>
      </c>
      <c r="X28" s="168">
        <f t="shared" si="12"/>
        <v>-1.1000000000000001</v>
      </c>
      <c r="Y28" s="178">
        <f t="shared" si="21"/>
        <v>0.39999999999999997</v>
      </c>
      <c r="Z28" s="84">
        <f t="shared" si="13"/>
        <v>0.44999999999999996</v>
      </c>
      <c r="AA28" s="84">
        <f t="shared" si="14"/>
        <v>0.42499999999999993</v>
      </c>
      <c r="AB28" s="178">
        <f t="shared" si="1"/>
        <v>0.5708333333333333</v>
      </c>
      <c r="AC28" s="178">
        <f t="shared" si="2"/>
        <v>0</v>
      </c>
      <c r="AD28" s="178">
        <f t="shared" si="3"/>
        <v>0</v>
      </c>
      <c r="AE28" s="181">
        <f t="shared" si="4"/>
        <v>2.8541666666666667E-2</v>
      </c>
      <c r="AF28" s="182">
        <f t="shared" si="15"/>
        <v>0</v>
      </c>
      <c r="AG28" s="162">
        <f t="shared" si="16"/>
        <v>1.618085351787774</v>
      </c>
      <c r="AH28" s="181">
        <f t="shared" si="17"/>
        <v>1.618085351787774</v>
      </c>
      <c r="AI28" s="180">
        <f t="shared" si="5"/>
        <v>0</v>
      </c>
      <c r="AJ28" s="180">
        <f t="shared" si="6"/>
        <v>2.7794308591214022E-2</v>
      </c>
      <c r="AK28" s="180">
        <f t="shared" si="7"/>
        <v>2.7794308591214022E-2</v>
      </c>
      <c r="AL28" s="183">
        <f t="shared" si="22"/>
        <v>0</v>
      </c>
      <c r="AM28" s="183">
        <f t="shared" si="18"/>
        <v>-7.0515190314746684E-3</v>
      </c>
      <c r="AN28" s="186">
        <f t="shared" si="19"/>
        <v>-7.0515190314746684E-3</v>
      </c>
      <c r="AO28" s="180">
        <f>SUM($AN$19:AN28)</f>
        <v>-5.6358427108129557E-2</v>
      </c>
      <c r="AP28" s="181">
        <f t="shared" si="8"/>
        <v>1.5757160967420434</v>
      </c>
      <c r="AQ28" s="181">
        <f t="shared" si="9"/>
        <v>-0.39976500972899992</v>
      </c>
      <c r="AR28" s="188">
        <f t="shared" si="10"/>
        <v>31.514321934840865</v>
      </c>
      <c r="AS28" s="188">
        <f t="shared" si="11"/>
        <v>-7.9953001945799977</v>
      </c>
      <c r="AT28" s="188">
        <f t="shared" si="20"/>
        <v>-7.8785804837102162</v>
      </c>
      <c r="AU28" s="188">
        <f t="shared" si="20"/>
        <v>1.9988250486449994</v>
      </c>
    </row>
    <row r="29" spans="1:52" s="77" customFormat="1" ht="12.75" x14ac:dyDescent="0.2">
      <c r="B29" s="80" t="s">
        <v>122</v>
      </c>
      <c r="C29" s="167">
        <f>Analysis!F310</f>
        <v>30.862944162436548</v>
      </c>
      <c r="D29" s="91" t="s">
        <v>106</v>
      </c>
      <c r="E29" s="73"/>
      <c r="F29" s="73"/>
      <c r="L29" s="157"/>
      <c r="M29" s="156"/>
      <c r="N29" s="156"/>
      <c r="O29" s="156"/>
      <c r="P29" s="156"/>
      <c r="Q29" s="156"/>
      <c r="R29" s="156"/>
      <c r="S29" s="156"/>
      <c r="T29" s="156"/>
      <c r="U29" s="157"/>
      <c r="V29" s="88">
        <v>10</v>
      </c>
      <c r="W29" s="168">
        <f t="shared" si="0"/>
        <v>1.05</v>
      </c>
      <c r="X29" s="168">
        <f t="shared" si="12"/>
        <v>-1.05</v>
      </c>
      <c r="Y29" s="178">
        <f t="shared" si="21"/>
        <v>0.44999999999999996</v>
      </c>
      <c r="Z29" s="84">
        <f t="shared" si="13"/>
        <v>0.49999999999999994</v>
      </c>
      <c r="AA29" s="84">
        <f t="shared" si="14"/>
        <v>0.47499999999999998</v>
      </c>
      <c r="AB29" s="178">
        <f t="shared" si="1"/>
        <v>0.57916666666666661</v>
      </c>
      <c r="AC29" s="178">
        <f t="shared" si="2"/>
        <v>0</v>
      </c>
      <c r="AD29" s="178">
        <f t="shared" si="3"/>
        <v>0</v>
      </c>
      <c r="AE29" s="181">
        <f t="shared" si="4"/>
        <v>2.8958333333333332E-2</v>
      </c>
      <c r="AF29" s="182">
        <f t="shared" si="15"/>
        <v>0</v>
      </c>
      <c r="AG29" s="162">
        <f t="shared" si="16"/>
        <v>1.6417070357554786</v>
      </c>
      <c r="AH29" s="181">
        <f t="shared" si="17"/>
        <v>1.6417070357554786</v>
      </c>
      <c r="AI29" s="180">
        <f t="shared" si="5"/>
        <v>0</v>
      </c>
      <c r="AJ29" s="180">
        <f t="shared" si="6"/>
        <v>2.8200064921012763E-2</v>
      </c>
      <c r="AK29" s="180">
        <f t="shared" si="7"/>
        <v>2.8200064921012763E-2</v>
      </c>
      <c r="AL29" s="183">
        <f t="shared" si="22"/>
        <v>0</v>
      </c>
      <c r="AM29" s="183">
        <f t="shared" si="18"/>
        <v>-7.2589056000384698E-3</v>
      </c>
      <c r="AN29" s="186">
        <f t="shared" si="19"/>
        <v>-7.2589056000384698E-3</v>
      </c>
      <c r="AO29" s="180">
        <f>SUM($AN$19:AN29)</f>
        <v>-6.3617332708168023E-2</v>
      </c>
      <c r="AP29" s="181">
        <f t="shared" si="8"/>
        <v>1.5987192514390074</v>
      </c>
      <c r="AQ29" s="181">
        <f t="shared" si="9"/>
        <v>-0.41152217768522592</v>
      </c>
      <c r="AR29" s="188">
        <f t="shared" si="10"/>
        <v>31.974385028780148</v>
      </c>
      <c r="AS29" s="188">
        <f t="shared" si="11"/>
        <v>-8.230443553704518</v>
      </c>
      <c r="AT29" s="188">
        <f t="shared" si="20"/>
        <v>-7.993596257195037</v>
      </c>
      <c r="AU29" s="188">
        <f t="shared" si="20"/>
        <v>2.0576108884261295</v>
      </c>
    </row>
    <row r="30" spans="1:52" s="77" customFormat="1" ht="12.75" x14ac:dyDescent="0.2">
      <c r="B30" s="169" t="s">
        <v>131</v>
      </c>
      <c r="C30" s="104"/>
      <c r="D30" s="101"/>
      <c r="E30" s="73"/>
      <c r="F30" s="73"/>
      <c r="L30" s="157"/>
      <c r="M30" s="156"/>
      <c r="N30" s="156"/>
      <c r="O30" s="156"/>
      <c r="P30" s="156"/>
      <c r="Q30" s="156"/>
      <c r="R30" s="156"/>
      <c r="S30" s="156"/>
      <c r="T30" s="156"/>
      <c r="U30" s="157"/>
      <c r="V30" s="88">
        <v>11</v>
      </c>
      <c r="W30" s="168">
        <f t="shared" si="0"/>
        <v>1</v>
      </c>
      <c r="X30" s="168">
        <f t="shared" si="12"/>
        <v>-1</v>
      </c>
      <c r="Y30" s="178">
        <f t="shared" si="21"/>
        <v>0.49999999999999994</v>
      </c>
      <c r="Z30" s="84">
        <f t="shared" si="13"/>
        <v>0.54999999999999993</v>
      </c>
      <c r="AA30" s="84">
        <f t="shared" si="14"/>
        <v>0.52499999999999991</v>
      </c>
      <c r="AB30" s="178">
        <f t="shared" si="1"/>
        <v>0.58750000000000002</v>
      </c>
      <c r="AC30" s="178">
        <f t="shared" si="2"/>
        <v>0</v>
      </c>
      <c r="AD30" s="178">
        <f t="shared" si="3"/>
        <v>0</v>
      </c>
      <c r="AE30" s="181">
        <f t="shared" si="4"/>
        <v>2.9375000000000002E-2</v>
      </c>
      <c r="AF30" s="182">
        <f t="shared" si="15"/>
        <v>0</v>
      </c>
      <c r="AG30" s="162">
        <f t="shared" si="16"/>
        <v>1.6653287197231836</v>
      </c>
      <c r="AH30" s="181">
        <f t="shared" si="17"/>
        <v>1.6653287197231836</v>
      </c>
      <c r="AI30" s="180">
        <f t="shared" si="5"/>
        <v>0</v>
      </c>
      <c r="AJ30" s="180">
        <f t="shared" si="6"/>
        <v>2.8605821250811514E-2</v>
      </c>
      <c r="AK30" s="180">
        <f t="shared" si="7"/>
        <v>2.8605821250811514E-2</v>
      </c>
      <c r="AL30" s="183">
        <f t="shared" si="22"/>
        <v>0</v>
      </c>
      <c r="AM30" s="183">
        <f t="shared" si="18"/>
        <v>-7.4692977710452283E-3</v>
      </c>
      <c r="AN30" s="186">
        <f t="shared" si="19"/>
        <v>-7.4692977710452283E-3</v>
      </c>
      <c r="AO30" s="180">
        <f>SUM($AN$19:AN30)</f>
        <v>-7.108663047921325E-2</v>
      </c>
      <c r="AP30" s="181">
        <f t="shared" si="8"/>
        <v>1.6217224061359719</v>
      </c>
      <c r="AQ30" s="181">
        <f t="shared" si="9"/>
        <v>-0.42344973937994818</v>
      </c>
      <c r="AR30" s="188">
        <f t="shared" si="10"/>
        <v>32.434448122719438</v>
      </c>
      <c r="AS30" s="188">
        <f t="shared" si="11"/>
        <v>-8.4689947875989624</v>
      </c>
      <c r="AT30" s="188">
        <f t="shared" si="20"/>
        <v>-8.1086120306798595</v>
      </c>
      <c r="AU30" s="188">
        <f t="shared" si="20"/>
        <v>2.1172486968997406</v>
      </c>
    </row>
    <row r="31" spans="1:52" s="77" customFormat="1" ht="12.75" x14ac:dyDescent="0.2">
      <c r="B31" s="80" t="s">
        <v>82</v>
      </c>
      <c r="C31" s="77" t="str">
        <f>[1]!xln(C32)</f>
        <v>30.9 × 1.84</v>
      </c>
      <c r="L31" s="157"/>
      <c r="M31" s="156"/>
      <c r="N31" s="156"/>
      <c r="O31" s="156"/>
      <c r="P31" s="156"/>
      <c r="Q31" s="156"/>
      <c r="R31" s="156"/>
      <c r="S31" s="156"/>
      <c r="T31" s="156"/>
      <c r="U31" s="157"/>
      <c r="V31" s="88">
        <v>12</v>
      </c>
      <c r="W31" s="168">
        <f t="shared" si="0"/>
        <v>0.95000000000000007</v>
      </c>
      <c r="X31" s="168">
        <f t="shared" si="12"/>
        <v>-0.95000000000000007</v>
      </c>
      <c r="Y31" s="178">
        <f t="shared" si="21"/>
        <v>0.54999999999999993</v>
      </c>
      <c r="Z31" s="84">
        <f t="shared" si="13"/>
        <v>0.6</v>
      </c>
      <c r="AA31" s="84">
        <f t="shared" si="14"/>
        <v>0.57499999999999996</v>
      </c>
      <c r="AB31" s="178">
        <f t="shared" si="1"/>
        <v>0.59583333333333333</v>
      </c>
      <c r="AC31" s="178">
        <f t="shared" si="2"/>
        <v>0</v>
      </c>
      <c r="AD31" s="178">
        <f t="shared" si="3"/>
        <v>0</v>
      </c>
      <c r="AE31" s="181">
        <f t="shared" si="4"/>
        <v>2.9791666666666668E-2</v>
      </c>
      <c r="AF31" s="182">
        <f t="shared" si="15"/>
        <v>0</v>
      </c>
      <c r="AG31" s="162">
        <f t="shared" si="16"/>
        <v>1.6889504036908882</v>
      </c>
      <c r="AH31" s="181">
        <f t="shared" si="17"/>
        <v>1.6889504036908882</v>
      </c>
      <c r="AI31" s="180">
        <f t="shared" si="5"/>
        <v>0</v>
      </c>
      <c r="AJ31" s="180">
        <f t="shared" si="6"/>
        <v>2.9011577580610258E-2</v>
      </c>
      <c r="AK31" s="180">
        <f t="shared" si="7"/>
        <v>2.9011577580610258E-2</v>
      </c>
      <c r="AL31" s="183">
        <f t="shared" si="22"/>
        <v>0</v>
      </c>
      <c r="AM31" s="183">
        <f t="shared" si="18"/>
        <v>-7.6826955444949385E-3</v>
      </c>
      <c r="AN31" s="186">
        <f t="shared" si="19"/>
        <v>-7.6826955444949385E-3</v>
      </c>
      <c r="AO31" s="180">
        <f>SUM($AN$19:AN31)</f>
        <v>-7.8769326023708189E-2</v>
      </c>
      <c r="AP31" s="181">
        <f t="shared" si="8"/>
        <v>1.6447255608329359</v>
      </c>
      <c r="AQ31" s="181">
        <f t="shared" si="9"/>
        <v>-0.43554769481316635</v>
      </c>
      <c r="AR31" s="188">
        <f t="shared" si="10"/>
        <v>32.894511216658714</v>
      </c>
      <c r="AS31" s="188">
        <f t="shared" si="11"/>
        <v>-8.7109538962633266</v>
      </c>
      <c r="AT31" s="188">
        <f t="shared" si="20"/>
        <v>-8.2236278041646784</v>
      </c>
      <c r="AU31" s="188">
        <f t="shared" si="20"/>
        <v>2.1777384740658317</v>
      </c>
    </row>
    <row r="32" spans="1:52" s="77" customFormat="1" ht="12.75" x14ac:dyDescent="0.2">
      <c r="A32" s="79"/>
      <c r="B32" s="80" t="s">
        <v>82</v>
      </c>
      <c r="C32" s="170">
        <f>C29*C25</f>
        <v>56.692041522491351</v>
      </c>
      <c r="D32" s="91" t="s">
        <v>106</v>
      </c>
      <c r="E32" s="73"/>
      <c r="F32" s="73"/>
      <c r="G32" s="73"/>
      <c r="H32" s="81"/>
      <c r="K32" s="73"/>
      <c r="L32" s="157"/>
      <c r="M32" s="156"/>
      <c r="N32" s="156"/>
      <c r="O32" s="156"/>
      <c r="P32" s="156"/>
      <c r="Q32" s="156"/>
      <c r="R32" s="156"/>
      <c r="S32" s="156"/>
      <c r="T32" s="156"/>
      <c r="U32" s="157"/>
      <c r="V32" s="88">
        <v>13</v>
      </c>
      <c r="W32" s="168">
        <f t="shared" si="0"/>
        <v>0.9</v>
      </c>
      <c r="X32" s="168">
        <f t="shared" si="12"/>
        <v>-0.9</v>
      </c>
      <c r="Y32" s="178">
        <f t="shared" si="21"/>
        <v>0.6</v>
      </c>
      <c r="Z32" s="84">
        <f t="shared" si="13"/>
        <v>0.65</v>
      </c>
      <c r="AA32" s="84">
        <f t="shared" si="14"/>
        <v>0.625</v>
      </c>
      <c r="AB32" s="178">
        <f t="shared" si="1"/>
        <v>0.60416666666666663</v>
      </c>
      <c r="AC32" s="178">
        <f t="shared" si="2"/>
        <v>0</v>
      </c>
      <c r="AD32" s="178">
        <f t="shared" si="3"/>
        <v>0</v>
      </c>
      <c r="AE32" s="181">
        <f t="shared" si="4"/>
        <v>3.0208333333333334E-2</v>
      </c>
      <c r="AF32" s="182">
        <f t="shared" si="15"/>
        <v>0</v>
      </c>
      <c r="AG32" s="162">
        <f t="shared" si="16"/>
        <v>1.7125720876585928</v>
      </c>
      <c r="AH32" s="181">
        <f t="shared" si="17"/>
        <v>1.7125720876585928</v>
      </c>
      <c r="AI32" s="180">
        <f t="shared" si="5"/>
        <v>0</v>
      </c>
      <c r="AJ32" s="180">
        <f t="shared" si="6"/>
        <v>2.9417333910408999E-2</v>
      </c>
      <c r="AK32" s="180">
        <f t="shared" si="7"/>
        <v>2.9417333910408999E-2</v>
      </c>
      <c r="AL32" s="183">
        <f t="shared" si="22"/>
        <v>0</v>
      </c>
      <c r="AM32" s="183">
        <f t="shared" si="18"/>
        <v>-7.8990989203876014E-3</v>
      </c>
      <c r="AN32" s="186">
        <f t="shared" si="19"/>
        <v>-7.8990989203876014E-3</v>
      </c>
      <c r="AO32" s="180">
        <f>SUM($AN$19:AN32)</f>
        <v>-8.6668424944095795E-2</v>
      </c>
      <c r="AP32" s="181">
        <f t="shared" si="8"/>
        <v>1.6677287155298999</v>
      </c>
      <c r="AQ32" s="181">
        <f t="shared" si="9"/>
        <v>-0.44781604398488051</v>
      </c>
      <c r="AR32" s="188">
        <f t="shared" si="10"/>
        <v>33.354574310597997</v>
      </c>
      <c r="AS32" s="188">
        <f t="shared" si="11"/>
        <v>-8.9563208796976088</v>
      </c>
      <c r="AT32" s="188">
        <f t="shared" si="20"/>
        <v>-8.3386435776494992</v>
      </c>
      <c r="AU32" s="188">
        <f t="shared" si="20"/>
        <v>2.2390802199244022</v>
      </c>
    </row>
    <row r="33" spans="1:47" s="77" customFormat="1" ht="12.75" x14ac:dyDescent="0.2">
      <c r="A33" s="79"/>
      <c r="B33" s="76"/>
      <c r="C33" s="78"/>
      <c r="D33" s="73"/>
      <c r="E33" s="73"/>
      <c r="F33" s="82"/>
      <c r="G33" s="73"/>
      <c r="H33" s="82"/>
      <c r="K33" s="73"/>
      <c r="L33" s="157"/>
      <c r="M33" s="156"/>
      <c r="N33" s="156"/>
      <c r="O33" s="156"/>
      <c r="P33" s="156"/>
      <c r="Q33" s="156"/>
      <c r="R33" s="156"/>
      <c r="S33" s="156"/>
      <c r="T33" s="156"/>
      <c r="U33" s="157"/>
      <c r="V33" s="88">
        <v>14</v>
      </c>
      <c r="W33" s="168">
        <f t="shared" si="0"/>
        <v>0.85</v>
      </c>
      <c r="X33" s="168">
        <f t="shared" si="12"/>
        <v>-0.85</v>
      </c>
      <c r="Y33" s="178">
        <f t="shared" si="21"/>
        <v>0.65</v>
      </c>
      <c r="Z33" s="84">
        <f t="shared" si="13"/>
        <v>0.70000000000000007</v>
      </c>
      <c r="AA33" s="84">
        <f t="shared" si="14"/>
        <v>0.67500000000000004</v>
      </c>
      <c r="AB33" s="178">
        <f t="shared" si="1"/>
        <v>0.61250000000000004</v>
      </c>
      <c r="AC33" s="178">
        <f t="shared" si="2"/>
        <v>0</v>
      </c>
      <c r="AD33" s="178">
        <f t="shared" si="3"/>
        <v>0</v>
      </c>
      <c r="AE33" s="181">
        <f t="shared" si="4"/>
        <v>3.0625000000000003E-2</v>
      </c>
      <c r="AF33" s="182">
        <f t="shared" si="15"/>
        <v>0</v>
      </c>
      <c r="AG33" s="162">
        <f t="shared" si="16"/>
        <v>1.7361937716262978</v>
      </c>
      <c r="AH33" s="181">
        <f t="shared" si="17"/>
        <v>1.7361937716262978</v>
      </c>
      <c r="AI33" s="180">
        <f t="shared" si="5"/>
        <v>0</v>
      </c>
      <c r="AJ33" s="180">
        <f t="shared" si="6"/>
        <v>2.982309024020775E-2</v>
      </c>
      <c r="AK33" s="180">
        <f t="shared" si="7"/>
        <v>2.982309024020775E-2</v>
      </c>
      <c r="AL33" s="183">
        <f t="shared" si="22"/>
        <v>0</v>
      </c>
      <c r="AM33" s="183">
        <f t="shared" si="18"/>
        <v>-8.1185078987232213E-3</v>
      </c>
      <c r="AN33" s="186">
        <f t="shared" si="19"/>
        <v>-8.1185078987232213E-3</v>
      </c>
      <c r="AO33" s="180">
        <f>SUM($AN$19:AN33)</f>
        <v>-9.4786932842819013E-2</v>
      </c>
      <c r="AP33" s="181">
        <f t="shared" si="8"/>
        <v>1.6907318702268643</v>
      </c>
      <c r="AQ33" s="181">
        <f t="shared" si="9"/>
        <v>-0.46025478689509086</v>
      </c>
      <c r="AR33" s="188">
        <f t="shared" si="10"/>
        <v>33.814637404537287</v>
      </c>
      <c r="AS33" s="188">
        <f t="shared" si="11"/>
        <v>-9.2050957379018161</v>
      </c>
      <c r="AT33" s="188">
        <f t="shared" si="20"/>
        <v>-8.4536593511343217</v>
      </c>
      <c r="AU33" s="188">
        <f t="shared" si="20"/>
        <v>2.301273934475454</v>
      </c>
    </row>
    <row r="34" spans="1:47" s="77" customFormat="1" ht="12.75" x14ac:dyDescent="0.2">
      <c r="A34" s="73"/>
      <c r="B34" s="75" t="s">
        <v>234</v>
      </c>
      <c r="C34" s="73"/>
      <c r="D34" s="73"/>
      <c r="E34" s="73"/>
      <c r="F34" s="82"/>
      <c r="G34" s="73"/>
      <c r="H34" s="82"/>
      <c r="K34" s="73"/>
      <c r="L34" s="157"/>
      <c r="M34" s="156"/>
      <c r="N34" s="156"/>
      <c r="O34" s="156"/>
      <c r="P34" s="156"/>
      <c r="Q34" s="156"/>
      <c r="R34" s="156"/>
      <c r="S34" s="156"/>
      <c r="T34" s="156"/>
      <c r="U34" s="157"/>
      <c r="V34" s="88">
        <v>15</v>
      </c>
      <c r="W34" s="168">
        <f t="shared" si="0"/>
        <v>0.79999999999999993</v>
      </c>
      <c r="X34" s="168">
        <f t="shared" si="12"/>
        <v>-0.79999999999999993</v>
      </c>
      <c r="Y34" s="178">
        <f t="shared" si="21"/>
        <v>0.70000000000000007</v>
      </c>
      <c r="Z34" s="84">
        <f t="shared" si="13"/>
        <v>0.75000000000000011</v>
      </c>
      <c r="AA34" s="84">
        <f t="shared" si="14"/>
        <v>0.72500000000000009</v>
      </c>
      <c r="AB34" s="178">
        <f t="shared" si="1"/>
        <v>0.62083333333333335</v>
      </c>
      <c r="AC34" s="178">
        <f t="shared" si="2"/>
        <v>0</v>
      </c>
      <c r="AD34" s="178">
        <f t="shared" si="3"/>
        <v>0</v>
      </c>
      <c r="AE34" s="181">
        <f t="shared" si="4"/>
        <v>3.1041666666666669E-2</v>
      </c>
      <c r="AF34" s="182">
        <f t="shared" si="15"/>
        <v>0</v>
      </c>
      <c r="AG34" s="162">
        <f t="shared" si="16"/>
        <v>1.7598154555940024</v>
      </c>
      <c r="AH34" s="181">
        <f t="shared" si="17"/>
        <v>1.7598154555940024</v>
      </c>
      <c r="AI34" s="180">
        <f t="shared" si="5"/>
        <v>0</v>
      </c>
      <c r="AJ34" s="180">
        <f t="shared" si="6"/>
        <v>3.022884657000649E-2</v>
      </c>
      <c r="AK34" s="180">
        <f t="shared" si="7"/>
        <v>3.022884657000649E-2</v>
      </c>
      <c r="AL34" s="183">
        <f t="shared" si="22"/>
        <v>0</v>
      </c>
      <c r="AM34" s="183">
        <f t="shared" si="18"/>
        <v>-8.3409224795017913E-3</v>
      </c>
      <c r="AN34" s="186">
        <f t="shared" si="19"/>
        <v>-8.3409224795017913E-3</v>
      </c>
      <c r="AO34" s="180">
        <f>SUM($AN$19:AN34)</f>
        <v>-0.1031278553223208</v>
      </c>
      <c r="AP34" s="181">
        <f t="shared" si="8"/>
        <v>1.7137350249238281</v>
      </c>
      <c r="AQ34" s="181">
        <f t="shared" si="9"/>
        <v>-0.47286392354379708</v>
      </c>
      <c r="AR34" s="188">
        <f t="shared" si="10"/>
        <v>34.274700498476562</v>
      </c>
      <c r="AS34" s="188">
        <f t="shared" si="11"/>
        <v>-9.4572784708759414</v>
      </c>
      <c r="AT34" s="188">
        <f t="shared" si="20"/>
        <v>-8.5686751246191406</v>
      </c>
      <c r="AU34" s="188">
        <f t="shared" si="20"/>
        <v>2.3643196177189854</v>
      </c>
    </row>
    <row r="35" spans="1:47" s="77" customFormat="1" ht="12.75" x14ac:dyDescent="0.2">
      <c r="H35" s="84"/>
      <c r="L35" s="157"/>
      <c r="M35" s="156"/>
      <c r="N35" s="156"/>
      <c r="O35" s="156"/>
      <c r="P35" s="156"/>
      <c r="Q35" s="156"/>
      <c r="R35" s="156"/>
      <c r="S35" s="156"/>
      <c r="T35" s="156"/>
      <c r="U35" s="157"/>
      <c r="V35" s="88">
        <v>16</v>
      </c>
      <c r="W35" s="168">
        <f t="shared" si="0"/>
        <v>0.74999999999999989</v>
      </c>
      <c r="X35" s="168">
        <f t="shared" si="12"/>
        <v>-0.74999999999999989</v>
      </c>
      <c r="Y35" s="178">
        <f t="shared" si="21"/>
        <v>0.75000000000000011</v>
      </c>
      <c r="Z35" s="84">
        <f t="shared" si="13"/>
        <v>0.80000000000000016</v>
      </c>
      <c r="AA35" s="84">
        <f t="shared" si="14"/>
        <v>0.77500000000000013</v>
      </c>
      <c r="AB35" s="178">
        <f t="shared" si="1"/>
        <v>0.62916666666666665</v>
      </c>
      <c r="AC35" s="178">
        <f t="shared" si="2"/>
        <v>0</v>
      </c>
      <c r="AD35" s="178">
        <f t="shared" si="3"/>
        <v>0</v>
      </c>
      <c r="AE35" s="181">
        <f t="shared" si="4"/>
        <v>3.1458333333333331E-2</v>
      </c>
      <c r="AF35" s="182">
        <f t="shared" si="15"/>
        <v>0</v>
      </c>
      <c r="AG35" s="162">
        <f t="shared" si="16"/>
        <v>1.783437139561707</v>
      </c>
      <c r="AH35" s="181">
        <f t="shared" si="17"/>
        <v>1.783437139561707</v>
      </c>
      <c r="AI35" s="180">
        <f t="shared" si="5"/>
        <v>0</v>
      </c>
      <c r="AJ35" s="180">
        <f t="shared" si="6"/>
        <v>3.0634602899805234E-2</v>
      </c>
      <c r="AK35" s="180">
        <f t="shared" si="7"/>
        <v>3.0634602899805234E-2</v>
      </c>
      <c r="AL35" s="183">
        <f t="shared" si="22"/>
        <v>0</v>
      </c>
      <c r="AM35" s="183">
        <f t="shared" si="18"/>
        <v>-8.5663426627233148E-3</v>
      </c>
      <c r="AN35" s="186">
        <f t="shared" si="19"/>
        <v>-8.5663426627233148E-3</v>
      </c>
      <c r="AO35" s="180">
        <f>SUM($AN$19:AN35)</f>
        <v>-0.11169419798504411</v>
      </c>
      <c r="AP35" s="181">
        <f t="shared" si="8"/>
        <v>1.7367381796207924</v>
      </c>
      <c r="AQ35" s="181">
        <f t="shared" si="9"/>
        <v>-0.48564345393099928</v>
      </c>
      <c r="AR35" s="188">
        <f t="shared" si="10"/>
        <v>34.734763592415845</v>
      </c>
      <c r="AS35" s="188">
        <f t="shared" si="11"/>
        <v>-9.7128690786199847</v>
      </c>
      <c r="AT35" s="188">
        <f t="shared" si="20"/>
        <v>-8.6836908981039613</v>
      </c>
      <c r="AU35" s="188">
        <f t="shared" si="20"/>
        <v>2.4282172696549962</v>
      </c>
    </row>
    <row r="36" spans="1:47" s="77" customFormat="1" ht="12.75" x14ac:dyDescent="0.2">
      <c r="E36" s="73"/>
      <c r="F36" s="84"/>
      <c r="G36" s="73"/>
      <c r="H36" s="84"/>
      <c r="K36" s="79"/>
      <c r="L36" s="157"/>
      <c r="M36" s="156"/>
      <c r="N36" s="156"/>
      <c r="O36" s="156"/>
      <c r="P36" s="156"/>
      <c r="Q36" s="156"/>
      <c r="R36" s="156"/>
      <c r="S36" s="156"/>
      <c r="T36" s="156"/>
      <c r="U36" s="157"/>
      <c r="V36" s="88">
        <v>17</v>
      </c>
      <c r="W36" s="168">
        <f t="shared" si="0"/>
        <v>0.69999999999999984</v>
      </c>
      <c r="X36" s="168">
        <f t="shared" si="12"/>
        <v>-0.69999999999999984</v>
      </c>
      <c r="Y36" s="178">
        <f t="shared" si="21"/>
        <v>0.80000000000000016</v>
      </c>
      <c r="Z36" s="84">
        <f t="shared" si="13"/>
        <v>0.8500000000000002</v>
      </c>
      <c r="AA36" s="84">
        <f t="shared" si="14"/>
        <v>0.82500000000000018</v>
      </c>
      <c r="AB36" s="178">
        <f t="shared" si="1"/>
        <v>0.63749999999999996</v>
      </c>
      <c r="AC36" s="178">
        <f t="shared" si="2"/>
        <v>0</v>
      </c>
      <c r="AD36" s="178">
        <f t="shared" si="3"/>
        <v>0</v>
      </c>
      <c r="AE36" s="181">
        <f t="shared" si="4"/>
        <v>3.1875000000000001E-2</v>
      </c>
      <c r="AF36" s="182">
        <f t="shared" si="15"/>
        <v>0</v>
      </c>
      <c r="AG36" s="162">
        <f t="shared" si="16"/>
        <v>1.8070588235294118</v>
      </c>
      <c r="AH36" s="181">
        <f t="shared" si="17"/>
        <v>1.8070588235294118</v>
      </c>
      <c r="AI36" s="180">
        <f t="shared" si="5"/>
        <v>0</v>
      </c>
      <c r="AJ36" s="180">
        <f t="shared" si="6"/>
        <v>3.1040359229603978E-2</v>
      </c>
      <c r="AK36" s="180">
        <f t="shared" si="7"/>
        <v>3.1040359229603978E-2</v>
      </c>
      <c r="AL36" s="183">
        <f t="shared" si="22"/>
        <v>0</v>
      </c>
      <c r="AM36" s="183">
        <f t="shared" si="18"/>
        <v>-8.7947684483877919E-3</v>
      </c>
      <c r="AN36" s="186">
        <f t="shared" si="19"/>
        <v>-8.7947684483877919E-3</v>
      </c>
      <c r="AO36" s="180">
        <f>SUM($AN$19:AN36)</f>
        <v>-0.1204889664334319</v>
      </c>
      <c r="AP36" s="181">
        <f t="shared" si="8"/>
        <v>1.7597413343177564</v>
      </c>
      <c r="AQ36" s="181">
        <f t="shared" si="9"/>
        <v>-0.49859337805669751</v>
      </c>
      <c r="AR36" s="188">
        <f t="shared" si="10"/>
        <v>35.194826686355128</v>
      </c>
      <c r="AS36" s="188">
        <f t="shared" si="11"/>
        <v>-9.9718675611339496</v>
      </c>
      <c r="AT36" s="188">
        <f t="shared" si="20"/>
        <v>-8.7987066715887821</v>
      </c>
      <c r="AU36" s="188">
        <f t="shared" si="20"/>
        <v>2.4929668902834874</v>
      </c>
    </row>
    <row r="37" spans="1:47" s="77" customFormat="1" ht="12.75" x14ac:dyDescent="0.2">
      <c r="A37" s="73"/>
      <c r="E37" s="80"/>
      <c r="I37" s="73"/>
      <c r="J37" s="73"/>
      <c r="K37" s="73"/>
      <c r="L37" s="157"/>
      <c r="M37" s="156"/>
      <c r="N37" s="156"/>
      <c r="O37" s="156"/>
      <c r="P37" s="156"/>
      <c r="Q37" s="156"/>
      <c r="R37" s="156"/>
      <c r="S37" s="156"/>
      <c r="T37" s="156"/>
      <c r="U37" s="157"/>
      <c r="V37" s="88">
        <v>18</v>
      </c>
      <c r="W37" s="168">
        <f t="shared" si="0"/>
        <v>0.6499999999999998</v>
      </c>
      <c r="X37" s="168">
        <f t="shared" si="12"/>
        <v>-0.6499999999999998</v>
      </c>
      <c r="Y37" s="178">
        <f t="shared" si="21"/>
        <v>0.8500000000000002</v>
      </c>
      <c r="Z37" s="84">
        <f t="shared" si="13"/>
        <v>0.90000000000000024</v>
      </c>
      <c r="AA37" s="84">
        <f t="shared" si="14"/>
        <v>0.87500000000000022</v>
      </c>
      <c r="AB37" s="178">
        <f t="shared" si="1"/>
        <v>0.64583333333333337</v>
      </c>
      <c r="AC37" s="178">
        <f t="shared" si="2"/>
        <v>0</v>
      </c>
      <c r="AD37" s="178">
        <f t="shared" si="3"/>
        <v>0</v>
      </c>
      <c r="AE37" s="181">
        <f t="shared" si="4"/>
        <v>3.229166666666667E-2</v>
      </c>
      <c r="AF37" s="182">
        <f t="shared" si="15"/>
        <v>0</v>
      </c>
      <c r="AG37" s="162">
        <f t="shared" si="16"/>
        <v>1.8306805074971166</v>
      </c>
      <c r="AH37" s="181">
        <f t="shared" si="17"/>
        <v>1.8306805074971166</v>
      </c>
      <c r="AI37" s="180">
        <f t="shared" si="5"/>
        <v>0</v>
      </c>
      <c r="AJ37" s="180">
        <f t="shared" si="6"/>
        <v>3.1446115559402729E-2</v>
      </c>
      <c r="AK37" s="180">
        <f t="shared" si="7"/>
        <v>3.1446115559402729E-2</v>
      </c>
      <c r="AL37" s="183">
        <f t="shared" si="22"/>
        <v>0</v>
      </c>
      <c r="AM37" s="183">
        <f t="shared" si="18"/>
        <v>-9.0261998364952276E-3</v>
      </c>
      <c r="AN37" s="186">
        <f t="shared" si="19"/>
        <v>-9.0261998364952276E-3</v>
      </c>
      <c r="AO37" s="180">
        <f>SUM($AN$19:AN37)</f>
        <v>-0.12951516626992712</v>
      </c>
      <c r="AP37" s="181">
        <f t="shared" si="8"/>
        <v>1.7827444890147208</v>
      </c>
      <c r="AQ37" s="181">
        <f t="shared" si="9"/>
        <v>-0.51171369592089211</v>
      </c>
      <c r="AR37" s="188">
        <f t="shared" si="10"/>
        <v>35.654889780294411</v>
      </c>
      <c r="AS37" s="188">
        <f t="shared" si="11"/>
        <v>-10.234273918417841</v>
      </c>
      <c r="AT37" s="188">
        <f t="shared" si="20"/>
        <v>-8.9137224450736028</v>
      </c>
      <c r="AU37" s="188">
        <f t="shared" si="20"/>
        <v>2.5585684796044603</v>
      </c>
    </row>
    <row r="38" spans="1:47" s="77" customFormat="1" ht="12.75" x14ac:dyDescent="0.2">
      <c r="A38" s="83" t="s">
        <v>135</v>
      </c>
      <c r="B38" s="76"/>
      <c r="D38" s="73"/>
      <c r="E38" s="76"/>
      <c r="F38" s="111"/>
      <c r="G38" s="110"/>
      <c r="I38" s="73"/>
      <c r="J38" s="73"/>
      <c r="L38" s="157"/>
      <c r="M38" s="156"/>
      <c r="N38" s="156"/>
      <c r="O38" s="156"/>
      <c r="P38" s="156"/>
      <c r="Q38" s="156"/>
      <c r="R38" s="156"/>
      <c r="S38" s="156"/>
      <c r="T38" s="156"/>
      <c r="U38" s="157"/>
      <c r="V38" s="88">
        <v>19</v>
      </c>
      <c r="W38" s="168">
        <f t="shared" si="0"/>
        <v>0.59999999999999976</v>
      </c>
      <c r="X38" s="168">
        <f t="shared" si="12"/>
        <v>-0.59999999999999976</v>
      </c>
      <c r="Y38" s="178">
        <f t="shared" si="21"/>
        <v>0.90000000000000024</v>
      </c>
      <c r="Z38" s="84">
        <f t="shared" si="13"/>
        <v>0.95000000000000029</v>
      </c>
      <c r="AA38" s="84">
        <f t="shared" si="14"/>
        <v>0.92500000000000027</v>
      </c>
      <c r="AB38" s="178">
        <f t="shared" si="1"/>
        <v>0.65416666666666667</v>
      </c>
      <c r="AC38" s="178">
        <f t="shared" si="2"/>
        <v>0</v>
      </c>
      <c r="AD38" s="178">
        <f t="shared" si="3"/>
        <v>0</v>
      </c>
      <c r="AE38" s="181">
        <f t="shared" si="4"/>
        <v>3.2708333333333332E-2</v>
      </c>
      <c r="AF38" s="182">
        <f t="shared" si="15"/>
        <v>0</v>
      </c>
      <c r="AG38" s="162">
        <f t="shared" si="16"/>
        <v>1.8543021914648212</v>
      </c>
      <c r="AH38" s="181">
        <f t="shared" si="17"/>
        <v>1.8543021914648212</v>
      </c>
      <c r="AI38" s="180">
        <f t="shared" si="5"/>
        <v>0</v>
      </c>
      <c r="AJ38" s="180">
        <f t="shared" si="6"/>
        <v>3.1851871889201466E-2</v>
      </c>
      <c r="AK38" s="180">
        <f t="shared" si="7"/>
        <v>3.1851871889201466E-2</v>
      </c>
      <c r="AL38" s="183">
        <f t="shared" si="22"/>
        <v>0</v>
      </c>
      <c r="AM38" s="183">
        <f t="shared" si="18"/>
        <v>-9.2606368270456117E-3</v>
      </c>
      <c r="AN38" s="186">
        <f t="shared" si="19"/>
        <v>-9.2606368270456117E-3</v>
      </c>
      <c r="AO38" s="180">
        <f>SUM($AN$19:AN38)</f>
        <v>-0.13877580309697274</v>
      </c>
      <c r="AP38" s="181">
        <f t="shared" si="8"/>
        <v>1.8057476437116846</v>
      </c>
      <c r="AQ38" s="181">
        <f t="shared" si="9"/>
        <v>-0.52500440752358235</v>
      </c>
      <c r="AR38" s="188">
        <f t="shared" si="10"/>
        <v>36.114952874233687</v>
      </c>
      <c r="AS38" s="188">
        <f t="shared" si="11"/>
        <v>-10.500088150471646</v>
      </c>
      <c r="AT38" s="188">
        <f t="shared" si="20"/>
        <v>-9.0287382185584217</v>
      </c>
      <c r="AU38" s="188">
        <f t="shared" si="20"/>
        <v>2.6250220376179114</v>
      </c>
    </row>
    <row r="39" spans="1:47" s="77" customFormat="1" ht="12.75" x14ac:dyDescent="0.2">
      <c r="A39" s="83" t="s">
        <v>133</v>
      </c>
      <c r="B39" s="80"/>
      <c r="C39" s="95"/>
      <c r="D39" s="110"/>
      <c r="E39" s="80"/>
      <c r="G39" s="83" t="s">
        <v>245</v>
      </c>
      <c r="I39" s="73"/>
      <c r="J39" s="73"/>
      <c r="L39" s="157"/>
      <c r="M39" s="156"/>
      <c r="N39" s="156"/>
      <c r="O39" s="156"/>
      <c r="P39" s="156"/>
      <c r="Q39" s="156"/>
      <c r="R39" s="156"/>
      <c r="S39" s="156"/>
      <c r="T39" s="156"/>
      <c r="U39" s="157"/>
      <c r="V39" s="88">
        <v>20</v>
      </c>
      <c r="W39" s="168">
        <f t="shared" si="0"/>
        <v>0.54999999999999971</v>
      </c>
      <c r="X39" s="168">
        <f t="shared" si="12"/>
        <v>-0.54999999999999971</v>
      </c>
      <c r="Y39" s="178">
        <f t="shared" si="21"/>
        <v>0.95000000000000029</v>
      </c>
      <c r="Z39" s="84">
        <f t="shared" si="13"/>
        <v>1.0000000000000002</v>
      </c>
      <c r="AA39" s="84">
        <f t="shared" si="14"/>
        <v>0.97500000000000031</v>
      </c>
      <c r="AB39" s="178">
        <f t="shared" si="1"/>
        <v>0.66250000000000009</v>
      </c>
      <c r="AC39" s="178">
        <f t="shared" si="2"/>
        <v>0</v>
      </c>
      <c r="AD39" s="178">
        <f t="shared" si="3"/>
        <v>0</v>
      </c>
      <c r="AE39" s="181">
        <f t="shared" si="4"/>
        <v>3.3125000000000009E-2</v>
      </c>
      <c r="AF39" s="182">
        <f t="shared" si="15"/>
        <v>0</v>
      </c>
      <c r="AG39" s="162">
        <f t="shared" si="16"/>
        <v>1.8779238754325265</v>
      </c>
      <c r="AH39" s="181">
        <f t="shared" si="17"/>
        <v>1.8779238754325265</v>
      </c>
      <c r="AI39" s="180">
        <f t="shared" si="5"/>
        <v>0</v>
      </c>
      <c r="AJ39" s="180">
        <f t="shared" si="6"/>
        <v>3.2257628219000224E-2</v>
      </c>
      <c r="AK39" s="180">
        <f t="shared" si="7"/>
        <v>3.2257628219000224E-2</v>
      </c>
      <c r="AL39" s="183">
        <f t="shared" si="22"/>
        <v>0</v>
      </c>
      <c r="AM39" s="183">
        <f t="shared" si="18"/>
        <v>-9.4980794200389563E-3</v>
      </c>
      <c r="AN39" s="186">
        <f t="shared" si="19"/>
        <v>-9.4980794200389563E-3</v>
      </c>
      <c r="AO39" s="180">
        <f>SUM($AN$19:AN39)</f>
        <v>-0.14827388251701171</v>
      </c>
      <c r="AP39" s="181">
        <f t="shared" si="8"/>
        <v>1.8287507984086495</v>
      </c>
      <c r="AQ39" s="181">
        <f t="shared" si="9"/>
        <v>-0.53846551286476907</v>
      </c>
      <c r="AR39" s="188">
        <f t="shared" si="10"/>
        <v>36.575015968172991</v>
      </c>
      <c r="AS39" s="188">
        <f t="shared" si="11"/>
        <v>-10.76931025729538</v>
      </c>
      <c r="AT39" s="188">
        <f t="shared" si="20"/>
        <v>-9.1437539920432478</v>
      </c>
      <c r="AU39" s="188">
        <f t="shared" si="20"/>
        <v>2.6923275643238451</v>
      </c>
    </row>
    <row r="40" spans="1:47" s="77" customFormat="1" ht="12.75" x14ac:dyDescent="0.2">
      <c r="A40" s="171" t="s">
        <v>134</v>
      </c>
      <c r="G40" s="83" t="s">
        <v>133</v>
      </c>
      <c r="I40" s="73"/>
      <c r="J40" s="73"/>
      <c r="L40" s="157"/>
      <c r="M40" s="156"/>
      <c r="N40" s="156"/>
      <c r="O40" s="156"/>
      <c r="P40" s="156"/>
      <c r="Q40" s="156"/>
      <c r="R40" s="156"/>
      <c r="S40" s="156"/>
      <c r="T40" s="156"/>
      <c r="U40" s="157"/>
      <c r="V40" s="88">
        <v>21</v>
      </c>
      <c r="W40" s="168">
        <f t="shared" si="0"/>
        <v>0.49999999999999978</v>
      </c>
      <c r="X40" s="168">
        <f t="shared" si="12"/>
        <v>-0.49999999999999978</v>
      </c>
      <c r="Y40" s="178">
        <f t="shared" si="21"/>
        <v>1.0000000000000002</v>
      </c>
      <c r="Z40" s="84">
        <f t="shared" si="13"/>
        <v>1.0500000000000003</v>
      </c>
      <c r="AA40" s="84">
        <f t="shared" si="14"/>
        <v>1.0250000000000004</v>
      </c>
      <c r="AB40" s="178">
        <f t="shared" si="1"/>
        <v>0.67083333333333339</v>
      </c>
      <c r="AC40" s="178">
        <f t="shared" si="2"/>
        <v>0</v>
      </c>
      <c r="AD40" s="178">
        <f t="shared" si="3"/>
        <v>0</v>
      </c>
      <c r="AE40" s="181">
        <f t="shared" si="4"/>
        <v>3.3541666666666671E-2</v>
      </c>
      <c r="AF40" s="182">
        <f t="shared" si="15"/>
        <v>0</v>
      </c>
      <c r="AG40" s="162">
        <f t="shared" si="16"/>
        <v>1.9015455594002311</v>
      </c>
      <c r="AH40" s="181">
        <f t="shared" si="17"/>
        <v>1.9015455594002311</v>
      </c>
      <c r="AI40" s="180">
        <f t="shared" si="5"/>
        <v>0</v>
      </c>
      <c r="AJ40" s="180">
        <f t="shared" si="6"/>
        <v>3.2663384548798961E-2</v>
      </c>
      <c r="AK40" s="180">
        <f t="shared" si="7"/>
        <v>3.2663384548798961E-2</v>
      </c>
      <c r="AL40" s="183">
        <f t="shared" si="22"/>
        <v>0</v>
      </c>
      <c r="AM40" s="183">
        <f t="shared" si="18"/>
        <v>-9.7385276154752457E-3</v>
      </c>
      <c r="AN40" s="186">
        <f t="shared" si="19"/>
        <v>-9.7385276154752457E-3</v>
      </c>
      <c r="AO40" s="180">
        <f>SUM($AN$19:AN40)</f>
        <v>-0.15801241013248696</v>
      </c>
      <c r="AP40" s="181">
        <f t="shared" si="8"/>
        <v>1.8517539531056131</v>
      </c>
      <c r="AQ40" s="181">
        <f t="shared" si="9"/>
        <v>-0.55209701194445127</v>
      </c>
      <c r="AR40" s="188">
        <f t="shared" si="10"/>
        <v>37.03507906211226</v>
      </c>
      <c r="AS40" s="188">
        <f t="shared" si="11"/>
        <v>-11.041940238889024</v>
      </c>
      <c r="AT40" s="188">
        <f t="shared" si="20"/>
        <v>-9.258769765528065</v>
      </c>
      <c r="AU40" s="188">
        <f t="shared" si="20"/>
        <v>2.7604850597222561</v>
      </c>
    </row>
    <row r="41" spans="1:47" s="77" customFormat="1" ht="12.75" x14ac:dyDescent="0.2">
      <c r="A41" s="172">
        <v>0.5</v>
      </c>
      <c r="B41" s="76"/>
      <c r="D41" s="73"/>
      <c r="E41" s="76"/>
      <c r="G41" s="171" t="s">
        <v>134</v>
      </c>
      <c r="I41" s="73"/>
      <c r="J41" s="87"/>
      <c r="L41" s="157"/>
      <c r="M41" s="156"/>
      <c r="N41" s="156"/>
      <c r="O41" s="156"/>
      <c r="P41" s="156"/>
      <c r="Q41" s="156"/>
      <c r="R41" s="156"/>
      <c r="S41" s="156"/>
      <c r="T41" s="156"/>
      <c r="U41" s="157"/>
      <c r="V41" s="88">
        <v>22</v>
      </c>
      <c r="W41" s="168">
        <f t="shared" si="0"/>
        <v>0.44999999999999973</v>
      </c>
      <c r="X41" s="168">
        <f t="shared" si="12"/>
        <v>-0.44999999999999973</v>
      </c>
      <c r="Y41" s="178">
        <f t="shared" si="21"/>
        <v>1.0500000000000003</v>
      </c>
      <c r="Z41" s="84">
        <f t="shared" si="13"/>
        <v>1.1000000000000003</v>
      </c>
      <c r="AA41" s="84">
        <f t="shared" si="14"/>
        <v>1.0750000000000002</v>
      </c>
      <c r="AB41" s="178">
        <f t="shared" si="1"/>
        <v>0.6791666666666667</v>
      </c>
      <c r="AC41" s="178">
        <f t="shared" si="2"/>
        <v>0</v>
      </c>
      <c r="AD41" s="178">
        <f t="shared" si="3"/>
        <v>0</v>
      </c>
      <c r="AE41" s="181">
        <f t="shared" si="4"/>
        <v>3.3958333333333333E-2</v>
      </c>
      <c r="AF41" s="182">
        <f t="shared" si="15"/>
        <v>0</v>
      </c>
      <c r="AG41" s="162">
        <f t="shared" si="16"/>
        <v>1.9251672433679354</v>
      </c>
      <c r="AH41" s="181">
        <f t="shared" si="17"/>
        <v>1.9251672433679354</v>
      </c>
      <c r="AI41" s="180">
        <f t="shared" si="5"/>
        <v>0</v>
      </c>
      <c r="AJ41" s="180">
        <f t="shared" si="6"/>
        <v>3.3069140878597705E-2</v>
      </c>
      <c r="AK41" s="180">
        <f t="shared" si="7"/>
        <v>3.3069140878597705E-2</v>
      </c>
      <c r="AL41" s="183">
        <f t="shared" si="22"/>
        <v>0</v>
      </c>
      <c r="AM41" s="183">
        <f t="shared" si="18"/>
        <v>-9.9819814133544921E-3</v>
      </c>
      <c r="AN41" s="186">
        <f t="shared" si="19"/>
        <v>-9.9819814133544921E-3</v>
      </c>
      <c r="AO41" s="180">
        <f>SUM($AN$19:AN41)</f>
        <v>-0.16799439154584145</v>
      </c>
      <c r="AP41" s="181">
        <f t="shared" si="8"/>
        <v>1.8747571078025773</v>
      </c>
      <c r="AQ41" s="181">
        <f t="shared" si="9"/>
        <v>-0.56589890476262972</v>
      </c>
      <c r="AR41" s="188">
        <f t="shared" si="10"/>
        <v>37.495142156051543</v>
      </c>
      <c r="AS41" s="188">
        <f t="shared" si="11"/>
        <v>-11.317978095252593</v>
      </c>
      <c r="AT41" s="188">
        <f t="shared" si="20"/>
        <v>-9.3737855390128857</v>
      </c>
      <c r="AU41" s="188">
        <f t="shared" si="20"/>
        <v>2.8294945238131484</v>
      </c>
    </row>
    <row r="42" spans="1:47" s="77" customFormat="1" ht="12.75" x14ac:dyDescent="0.2">
      <c r="A42" s="171" t="s">
        <v>136</v>
      </c>
      <c r="B42" s="80"/>
      <c r="C42" s="95"/>
      <c r="D42" s="104"/>
      <c r="E42" s="109"/>
      <c r="G42" s="172">
        <v>0.75</v>
      </c>
      <c r="I42" s="73"/>
      <c r="J42" s="73"/>
      <c r="L42" s="157"/>
      <c r="M42" s="156"/>
      <c r="N42" s="156"/>
      <c r="O42" s="156"/>
      <c r="P42" s="156"/>
      <c r="Q42" s="156"/>
      <c r="R42" s="156"/>
      <c r="S42" s="156"/>
      <c r="T42" s="156"/>
      <c r="U42" s="157"/>
      <c r="V42" s="88">
        <v>23</v>
      </c>
      <c r="W42" s="168">
        <f t="shared" si="0"/>
        <v>0.39999999999999969</v>
      </c>
      <c r="X42" s="168">
        <f t="shared" si="12"/>
        <v>-0.39999999999999969</v>
      </c>
      <c r="Y42" s="178">
        <f t="shared" si="21"/>
        <v>1.1000000000000003</v>
      </c>
      <c r="Z42" s="84">
        <f t="shared" si="13"/>
        <v>1.1500000000000004</v>
      </c>
      <c r="AA42" s="84">
        <f t="shared" si="14"/>
        <v>1.1250000000000004</v>
      </c>
      <c r="AB42" s="178">
        <f t="shared" si="1"/>
        <v>0.6875</v>
      </c>
      <c r="AC42" s="178">
        <f t="shared" si="2"/>
        <v>0</v>
      </c>
      <c r="AD42" s="178">
        <f t="shared" si="3"/>
        <v>0</v>
      </c>
      <c r="AE42" s="181">
        <f t="shared" si="4"/>
        <v>3.4375000000000003E-2</v>
      </c>
      <c r="AF42" s="182">
        <f t="shared" si="15"/>
        <v>0</v>
      </c>
      <c r="AG42" s="162">
        <f t="shared" si="16"/>
        <v>1.9487889273356405</v>
      </c>
      <c r="AH42" s="181">
        <f t="shared" si="17"/>
        <v>1.9487889273356405</v>
      </c>
      <c r="AI42" s="180">
        <f t="shared" si="5"/>
        <v>0</v>
      </c>
      <c r="AJ42" s="180">
        <f t="shared" si="6"/>
        <v>3.3474897208396456E-2</v>
      </c>
      <c r="AK42" s="180">
        <f t="shared" si="7"/>
        <v>3.3474897208396456E-2</v>
      </c>
      <c r="AL42" s="183">
        <f t="shared" si="22"/>
        <v>0</v>
      </c>
      <c r="AM42" s="183">
        <f t="shared" si="18"/>
        <v>-1.0228440813676696E-2</v>
      </c>
      <c r="AN42" s="186">
        <f t="shared" si="19"/>
        <v>-1.0228440813676696E-2</v>
      </c>
      <c r="AO42" s="180">
        <f>SUM($AN$19:AN42)</f>
        <v>-0.17822283235951814</v>
      </c>
      <c r="AP42" s="181">
        <f t="shared" si="8"/>
        <v>1.8977602624995418</v>
      </c>
      <c r="AQ42" s="181">
        <f t="shared" si="9"/>
        <v>-0.57987119131930442</v>
      </c>
      <c r="AR42" s="188">
        <f t="shared" si="10"/>
        <v>37.955205249990833</v>
      </c>
      <c r="AS42" s="188">
        <f t="shared" si="11"/>
        <v>-11.597423826386088</v>
      </c>
      <c r="AT42" s="188">
        <f t="shared" si="20"/>
        <v>-9.4888013124977082</v>
      </c>
      <c r="AU42" s="188">
        <f t="shared" si="20"/>
        <v>2.8993559565965219</v>
      </c>
    </row>
    <row r="43" spans="1:47" s="77" customFormat="1" ht="12.75" x14ac:dyDescent="0.2">
      <c r="A43" s="73"/>
      <c r="G43" s="171" t="s">
        <v>136</v>
      </c>
      <c r="I43" s="73"/>
      <c r="J43" s="83"/>
      <c r="K43" s="73"/>
      <c r="L43" s="157"/>
      <c r="M43" s="156"/>
      <c r="N43" s="156"/>
      <c r="O43" s="156"/>
      <c r="P43" s="156"/>
      <c r="Q43" s="156"/>
      <c r="R43" s="156"/>
      <c r="S43" s="156"/>
      <c r="T43" s="156"/>
      <c r="U43" s="157"/>
      <c r="V43" s="88">
        <v>24</v>
      </c>
      <c r="W43" s="168">
        <f t="shared" si="0"/>
        <v>0.34999999999999964</v>
      </c>
      <c r="X43" s="168">
        <f t="shared" si="12"/>
        <v>-0.34999999999999964</v>
      </c>
      <c r="Y43" s="178">
        <f t="shared" si="21"/>
        <v>1.1500000000000004</v>
      </c>
      <c r="Z43" s="84">
        <f t="shared" si="13"/>
        <v>1.2000000000000004</v>
      </c>
      <c r="AA43" s="84">
        <f t="shared" si="14"/>
        <v>1.1750000000000003</v>
      </c>
      <c r="AB43" s="178">
        <f t="shared" si="1"/>
        <v>0.6958333333333333</v>
      </c>
      <c r="AC43" s="178">
        <f t="shared" si="2"/>
        <v>0</v>
      </c>
      <c r="AD43" s="178">
        <f t="shared" si="3"/>
        <v>0</v>
      </c>
      <c r="AE43" s="181">
        <f t="shared" si="4"/>
        <v>3.4791666666666665E-2</v>
      </c>
      <c r="AF43" s="182">
        <f t="shared" si="15"/>
        <v>0</v>
      </c>
      <c r="AG43" s="162">
        <f t="shared" si="16"/>
        <v>1.9724106113033448</v>
      </c>
      <c r="AH43" s="181">
        <f t="shared" si="17"/>
        <v>1.9724106113033448</v>
      </c>
      <c r="AI43" s="180">
        <f t="shared" si="5"/>
        <v>0</v>
      </c>
      <c r="AJ43" s="180">
        <f t="shared" si="6"/>
        <v>3.3880653538195193E-2</v>
      </c>
      <c r="AK43" s="180">
        <f t="shared" si="7"/>
        <v>3.3880653538195193E-2</v>
      </c>
      <c r="AL43" s="183">
        <f t="shared" si="22"/>
        <v>0</v>
      </c>
      <c r="AM43" s="183">
        <f t="shared" si="18"/>
        <v>-1.0477905816441847E-2</v>
      </c>
      <c r="AN43" s="186">
        <f t="shared" si="19"/>
        <v>-1.0477905816441847E-2</v>
      </c>
      <c r="AO43" s="180">
        <f>SUM($AN$19:AN43)</f>
        <v>-0.18870073817595998</v>
      </c>
      <c r="AP43" s="181">
        <f t="shared" si="8"/>
        <v>1.9207634171965053</v>
      </c>
      <c r="AQ43" s="181">
        <f t="shared" si="9"/>
        <v>-0.59401387161447483</v>
      </c>
      <c r="AR43" s="188">
        <f t="shared" si="10"/>
        <v>38.415268343930101</v>
      </c>
      <c r="AS43" s="188">
        <f t="shared" si="11"/>
        <v>-11.880277432289496</v>
      </c>
      <c r="AT43" s="188">
        <f t="shared" si="20"/>
        <v>-9.6038170859825254</v>
      </c>
      <c r="AU43" s="188">
        <f t="shared" si="20"/>
        <v>2.970069358072374</v>
      </c>
    </row>
    <row r="44" spans="1:47" s="77" customFormat="1" ht="12.75" x14ac:dyDescent="0.2">
      <c r="A44" s="80"/>
      <c r="B44" s="76"/>
      <c r="D44" s="73"/>
      <c r="E44" s="76"/>
      <c r="F44" s="104"/>
      <c r="G44" s="110"/>
      <c r="I44" s="76"/>
      <c r="J44" s="113"/>
      <c r="K44" s="73"/>
      <c r="L44" s="157"/>
      <c r="M44" s="156"/>
      <c r="N44" s="156"/>
      <c r="O44" s="156"/>
      <c r="P44" s="156"/>
      <c r="Q44" s="156"/>
      <c r="R44" s="156"/>
      <c r="S44" s="156"/>
      <c r="T44" s="156"/>
      <c r="U44" s="157"/>
      <c r="V44" s="88">
        <v>25</v>
      </c>
      <c r="W44" s="168">
        <f t="shared" si="0"/>
        <v>0.2999999999999996</v>
      </c>
      <c r="X44" s="168">
        <f t="shared" si="12"/>
        <v>-0.2999999999999996</v>
      </c>
      <c r="Y44" s="178">
        <f t="shared" si="21"/>
        <v>1.2000000000000004</v>
      </c>
      <c r="Z44" s="84">
        <f t="shared" si="13"/>
        <v>1.2500000000000004</v>
      </c>
      <c r="AA44" s="84">
        <f t="shared" si="14"/>
        <v>1.2250000000000005</v>
      </c>
      <c r="AB44" s="178">
        <f t="shared" si="1"/>
        <v>0.70416666666666672</v>
      </c>
      <c r="AC44" s="178">
        <f t="shared" si="2"/>
        <v>0</v>
      </c>
      <c r="AD44" s="178">
        <f t="shared" si="3"/>
        <v>0</v>
      </c>
      <c r="AE44" s="181">
        <f t="shared" si="4"/>
        <v>3.5208333333333335E-2</v>
      </c>
      <c r="AF44" s="182">
        <f t="shared" si="15"/>
        <v>0</v>
      </c>
      <c r="AG44" s="162">
        <f t="shared" si="16"/>
        <v>1.9960322952710496</v>
      </c>
      <c r="AH44" s="181">
        <f t="shared" si="17"/>
        <v>1.9960322952710496</v>
      </c>
      <c r="AI44" s="180">
        <f t="shared" si="5"/>
        <v>0</v>
      </c>
      <c r="AJ44" s="180">
        <f t="shared" si="6"/>
        <v>3.4286409867993937E-2</v>
      </c>
      <c r="AK44" s="180">
        <f t="shared" si="7"/>
        <v>3.4286409867993937E-2</v>
      </c>
      <c r="AL44" s="183">
        <f t="shared" si="22"/>
        <v>0</v>
      </c>
      <c r="AM44" s="183">
        <f t="shared" si="18"/>
        <v>-1.0730376421649956E-2</v>
      </c>
      <c r="AN44" s="186">
        <f t="shared" si="19"/>
        <v>-1.0730376421649956E-2</v>
      </c>
      <c r="AO44" s="180">
        <f>SUM($AN$19:AN44)</f>
        <v>-0.19943111459760993</v>
      </c>
      <c r="AP44" s="181">
        <f t="shared" si="8"/>
        <v>1.9437665718934696</v>
      </c>
      <c r="AQ44" s="181">
        <f t="shared" si="9"/>
        <v>-0.60832694564814149</v>
      </c>
      <c r="AR44" s="188">
        <f t="shared" si="10"/>
        <v>38.875331437869391</v>
      </c>
      <c r="AS44" s="188">
        <f t="shared" si="11"/>
        <v>-12.16653891296283</v>
      </c>
      <c r="AT44" s="188">
        <f t="shared" si="20"/>
        <v>-9.7188328594673479</v>
      </c>
      <c r="AU44" s="188">
        <f t="shared" si="20"/>
        <v>3.0416347282407075</v>
      </c>
    </row>
    <row r="45" spans="1:47" s="77" customFormat="1" ht="12.75" x14ac:dyDescent="0.2">
      <c r="A45" s="73"/>
      <c r="B45" s="80"/>
      <c r="C45" s="95"/>
      <c r="D45" s="110"/>
      <c r="E45" s="76"/>
      <c r="F45" s="111"/>
      <c r="I45" s="73"/>
      <c r="J45" s="73"/>
      <c r="K45" s="73"/>
      <c r="L45" s="157"/>
      <c r="M45" s="156"/>
      <c r="N45" s="156"/>
      <c r="O45" s="156"/>
      <c r="P45" s="156"/>
      <c r="Q45" s="156"/>
      <c r="R45" s="156"/>
      <c r="S45" s="156"/>
      <c r="T45" s="156"/>
      <c r="U45" s="157"/>
      <c r="V45" s="88">
        <v>26</v>
      </c>
      <c r="W45" s="168">
        <f t="shared" si="0"/>
        <v>0.24999999999999956</v>
      </c>
      <c r="X45" s="168">
        <f t="shared" si="12"/>
        <v>-0.24999999999999956</v>
      </c>
      <c r="Y45" s="178">
        <f t="shared" si="21"/>
        <v>1.2500000000000004</v>
      </c>
      <c r="Z45" s="84">
        <f t="shared" si="13"/>
        <v>1.3000000000000005</v>
      </c>
      <c r="AA45" s="84">
        <f t="shared" si="14"/>
        <v>1.2750000000000004</v>
      </c>
      <c r="AB45" s="178">
        <f t="shared" si="1"/>
        <v>0.71250000000000002</v>
      </c>
      <c r="AC45" s="178">
        <f t="shared" si="2"/>
        <v>0</v>
      </c>
      <c r="AD45" s="178">
        <f t="shared" si="3"/>
        <v>0</v>
      </c>
      <c r="AE45" s="181">
        <f t="shared" si="4"/>
        <v>3.5625000000000004E-2</v>
      </c>
      <c r="AF45" s="182">
        <f t="shared" si="15"/>
        <v>0</v>
      </c>
      <c r="AG45" s="162">
        <f t="shared" si="16"/>
        <v>2.0196539792387544</v>
      </c>
      <c r="AH45" s="181">
        <f t="shared" si="17"/>
        <v>2.0196539792387544</v>
      </c>
      <c r="AI45" s="180">
        <f t="shared" si="5"/>
        <v>0</v>
      </c>
      <c r="AJ45" s="180">
        <f t="shared" si="6"/>
        <v>3.4692166197792682E-2</v>
      </c>
      <c r="AK45" s="180">
        <f t="shared" si="7"/>
        <v>3.4692166197792682E-2</v>
      </c>
      <c r="AL45" s="183">
        <f t="shared" si="22"/>
        <v>0</v>
      </c>
      <c r="AM45" s="183">
        <f t="shared" si="18"/>
        <v>-1.0985852629301017E-2</v>
      </c>
      <c r="AN45" s="186">
        <f t="shared" si="19"/>
        <v>-1.0985852629301017E-2</v>
      </c>
      <c r="AO45" s="180">
        <f>SUM($AN$19:AN45)</f>
        <v>-0.21041696722691094</v>
      </c>
      <c r="AP45" s="181">
        <f t="shared" si="8"/>
        <v>1.9667697265904336</v>
      </c>
      <c r="AQ45" s="181">
        <f t="shared" si="9"/>
        <v>-0.62281041342030397</v>
      </c>
      <c r="AR45" s="188">
        <f t="shared" si="10"/>
        <v>39.335394531808667</v>
      </c>
      <c r="AS45" s="188">
        <f t="shared" si="11"/>
        <v>-12.456208268406078</v>
      </c>
      <c r="AT45" s="188">
        <f t="shared" si="20"/>
        <v>-9.8338486329521668</v>
      </c>
      <c r="AU45" s="188">
        <f t="shared" si="20"/>
        <v>3.1140520671015195</v>
      </c>
    </row>
    <row r="46" spans="1:47" s="77" customFormat="1" ht="12.75" x14ac:dyDescent="0.2">
      <c r="A46" s="73"/>
      <c r="I46" s="73"/>
      <c r="J46" s="73"/>
      <c r="K46" s="73"/>
      <c r="L46" s="157"/>
      <c r="M46" s="156"/>
      <c r="N46" s="156"/>
      <c r="O46" s="156"/>
      <c r="P46" s="156"/>
      <c r="Q46" s="156"/>
      <c r="R46" s="156"/>
      <c r="S46" s="156"/>
      <c r="T46" s="156"/>
      <c r="U46" s="157"/>
      <c r="V46" s="88">
        <v>27</v>
      </c>
      <c r="W46" s="168">
        <f t="shared" si="0"/>
        <v>0.19999999999999951</v>
      </c>
      <c r="X46" s="168">
        <f t="shared" si="12"/>
        <v>-0.19999999999999951</v>
      </c>
      <c r="Y46" s="178">
        <f t="shared" si="21"/>
        <v>1.3000000000000005</v>
      </c>
      <c r="Z46" s="84">
        <f t="shared" si="13"/>
        <v>1.3500000000000005</v>
      </c>
      <c r="AA46" s="84">
        <f t="shared" si="14"/>
        <v>1.3250000000000006</v>
      </c>
      <c r="AB46" s="178">
        <f t="shared" si="1"/>
        <v>0.72083333333333344</v>
      </c>
      <c r="AC46" s="178">
        <f t="shared" si="2"/>
        <v>0</v>
      </c>
      <c r="AD46" s="178">
        <f t="shared" si="3"/>
        <v>0</v>
      </c>
      <c r="AE46" s="181">
        <f t="shared" si="4"/>
        <v>3.6041666666666673E-2</v>
      </c>
      <c r="AF46" s="182">
        <f t="shared" si="15"/>
        <v>0</v>
      </c>
      <c r="AG46" s="162">
        <f t="shared" si="16"/>
        <v>2.0432756632064595</v>
      </c>
      <c r="AH46" s="181">
        <f t="shared" si="17"/>
        <v>2.0432756632064595</v>
      </c>
      <c r="AI46" s="180">
        <f t="shared" si="5"/>
        <v>0</v>
      </c>
      <c r="AJ46" s="180">
        <f t="shared" si="6"/>
        <v>3.5097922527591432E-2</v>
      </c>
      <c r="AK46" s="180">
        <f t="shared" si="7"/>
        <v>3.5097922527591432E-2</v>
      </c>
      <c r="AL46" s="183">
        <f t="shared" si="22"/>
        <v>0</v>
      </c>
      <c r="AM46" s="183">
        <f t="shared" si="18"/>
        <v>-1.1244334439395034E-2</v>
      </c>
      <c r="AN46" s="186">
        <f t="shared" si="19"/>
        <v>-1.1244334439395034E-2</v>
      </c>
      <c r="AO46" s="180">
        <f>SUM($AN$19:AN46)</f>
        <v>-0.22166130166630599</v>
      </c>
      <c r="AP46" s="181">
        <f t="shared" si="8"/>
        <v>1.989772881287398</v>
      </c>
      <c r="AQ46" s="181">
        <f t="shared" si="9"/>
        <v>-0.6374642749309628</v>
      </c>
      <c r="AR46" s="188">
        <f t="shared" si="10"/>
        <v>39.795457625747957</v>
      </c>
      <c r="AS46" s="188">
        <f t="shared" si="11"/>
        <v>-12.749285498619255</v>
      </c>
      <c r="AT46" s="188">
        <f t="shared" si="20"/>
        <v>-9.9488644064369893</v>
      </c>
      <c r="AU46" s="188">
        <f t="shared" si="20"/>
        <v>3.1873213746548137</v>
      </c>
    </row>
    <row r="47" spans="1:47" s="77" customFormat="1" ht="12.75" x14ac:dyDescent="0.2">
      <c r="A47" s="80"/>
      <c r="B47" s="92"/>
      <c r="D47" s="80" t="s">
        <v>240</v>
      </c>
      <c r="E47" s="158">
        <f>F49/2</f>
        <v>1.5</v>
      </c>
      <c r="F47" s="73" t="s">
        <v>136</v>
      </c>
      <c r="I47" s="73"/>
      <c r="J47" s="73"/>
      <c r="K47" s="73"/>
      <c r="L47" s="157"/>
      <c r="M47" s="156"/>
      <c r="N47" s="156"/>
      <c r="O47" s="156"/>
      <c r="P47" s="156"/>
      <c r="Q47" s="156"/>
      <c r="R47" s="156"/>
      <c r="S47" s="156"/>
      <c r="T47" s="156"/>
      <c r="U47" s="157"/>
      <c r="V47" s="88">
        <v>28</v>
      </c>
      <c r="W47" s="168">
        <f t="shared" si="0"/>
        <v>0.14999999999999947</v>
      </c>
      <c r="X47" s="168">
        <f t="shared" si="12"/>
        <v>-0.14999999999999947</v>
      </c>
      <c r="Y47" s="178">
        <f t="shared" si="21"/>
        <v>1.3500000000000005</v>
      </c>
      <c r="Z47" s="84">
        <f t="shared" si="13"/>
        <v>1.4000000000000006</v>
      </c>
      <c r="AA47" s="84">
        <f t="shared" si="14"/>
        <v>1.3750000000000004</v>
      </c>
      <c r="AB47" s="178">
        <f t="shared" si="1"/>
        <v>0.72916666666666674</v>
      </c>
      <c r="AC47" s="178">
        <f t="shared" si="2"/>
        <v>0</v>
      </c>
      <c r="AD47" s="178">
        <f t="shared" si="3"/>
        <v>0</v>
      </c>
      <c r="AE47" s="181">
        <f t="shared" si="4"/>
        <v>3.6458333333333336E-2</v>
      </c>
      <c r="AF47" s="182">
        <f t="shared" si="15"/>
        <v>0</v>
      </c>
      <c r="AG47" s="162">
        <f t="shared" si="16"/>
        <v>2.0668973471741641</v>
      </c>
      <c r="AH47" s="181">
        <f t="shared" si="17"/>
        <v>2.0668973471741641</v>
      </c>
      <c r="AI47" s="180">
        <f t="shared" si="5"/>
        <v>0</v>
      </c>
      <c r="AJ47" s="180">
        <f t="shared" si="6"/>
        <v>3.5503678857390177E-2</v>
      </c>
      <c r="AK47" s="180">
        <f t="shared" si="7"/>
        <v>3.5503678857390177E-2</v>
      </c>
      <c r="AL47" s="183">
        <f t="shared" si="22"/>
        <v>0</v>
      </c>
      <c r="AM47" s="183">
        <f t="shared" si="18"/>
        <v>-1.1505821851932004E-2</v>
      </c>
      <c r="AN47" s="186">
        <f t="shared" si="19"/>
        <v>-1.1505821851932004E-2</v>
      </c>
      <c r="AO47" s="180">
        <f>SUM($AN$19:AN47)</f>
        <v>-0.23316712351823798</v>
      </c>
      <c r="AP47" s="181">
        <f t="shared" si="8"/>
        <v>2.0127760359843623</v>
      </c>
      <c r="AQ47" s="181">
        <f t="shared" si="9"/>
        <v>-0.65228853018011745</v>
      </c>
      <c r="AR47" s="188">
        <f t="shared" si="10"/>
        <v>40.25552071968724</v>
      </c>
      <c r="AS47" s="188">
        <f t="shared" si="11"/>
        <v>-13.045770603602348</v>
      </c>
      <c r="AT47" s="188">
        <f t="shared" si="20"/>
        <v>-10.06388017992181</v>
      </c>
      <c r="AU47" s="188">
        <f t="shared" si="20"/>
        <v>3.2614426509005869</v>
      </c>
    </row>
    <row r="48" spans="1:47" s="77" customFormat="1" ht="12.75" x14ac:dyDescent="0.2">
      <c r="A48" s="73"/>
      <c r="B48" s="80"/>
      <c r="C48" s="95"/>
      <c r="D48" s="110"/>
      <c r="E48" s="76"/>
      <c r="F48" s="96"/>
      <c r="I48" s="97"/>
      <c r="J48" s="73"/>
      <c r="K48" s="73"/>
      <c r="L48" s="157"/>
      <c r="M48" s="156"/>
      <c r="N48" s="156"/>
      <c r="O48" s="156"/>
      <c r="P48" s="156"/>
      <c r="Q48" s="156"/>
      <c r="R48" s="156"/>
      <c r="S48" s="156"/>
      <c r="T48" s="156"/>
      <c r="U48" s="157"/>
      <c r="V48" s="88">
        <v>29</v>
      </c>
      <c r="W48" s="168">
        <f t="shared" si="0"/>
        <v>9.9999999999999423E-2</v>
      </c>
      <c r="X48" s="168">
        <f t="shared" si="12"/>
        <v>-9.9999999999999423E-2</v>
      </c>
      <c r="Y48" s="178">
        <f t="shared" si="21"/>
        <v>1.4000000000000006</v>
      </c>
      <c r="Z48" s="84">
        <f t="shared" si="13"/>
        <v>1.4500000000000006</v>
      </c>
      <c r="AA48" s="84">
        <f t="shared" si="14"/>
        <v>1.4250000000000007</v>
      </c>
      <c r="AB48" s="178">
        <f t="shared" si="1"/>
        <v>0.73750000000000004</v>
      </c>
      <c r="AC48" s="178">
        <f t="shared" si="2"/>
        <v>0</v>
      </c>
      <c r="AD48" s="178">
        <f t="shared" si="3"/>
        <v>0</v>
      </c>
      <c r="AE48" s="181">
        <f t="shared" si="4"/>
        <v>3.6875000000000005E-2</v>
      </c>
      <c r="AF48" s="182">
        <f t="shared" si="15"/>
        <v>0</v>
      </c>
      <c r="AG48" s="162">
        <f t="shared" si="16"/>
        <v>2.0905190311418687</v>
      </c>
      <c r="AH48" s="181">
        <f t="shared" si="17"/>
        <v>2.0905190311418687</v>
      </c>
      <c r="AI48" s="180">
        <f t="shared" si="5"/>
        <v>0</v>
      </c>
      <c r="AJ48" s="180">
        <f t="shared" si="6"/>
        <v>3.5909435187188921E-2</v>
      </c>
      <c r="AK48" s="180">
        <f t="shared" si="7"/>
        <v>3.5909435187188921E-2</v>
      </c>
      <c r="AL48" s="183">
        <f t="shared" si="22"/>
        <v>0</v>
      </c>
      <c r="AM48" s="183">
        <f t="shared" si="18"/>
        <v>-1.1770314866911926E-2</v>
      </c>
      <c r="AN48" s="186">
        <f t="shared" si="19"/>
        <v>-1.1770314866911926E-2</v>
      </c>
      <c r="AO48" s="180">
        <f>SUM($AN$19:AN48)</f>
        <v>-0.24493743838514992</v>
      </c>
      <c r="AP48" s="181">
        <f t="shared" si="8"/>
        <v>2.0357791906813261</v>
      </c>
      <c r="AQ48" s="181">
        <f t="shared" si="9"/>
        <v>-0.66728317916776825</v>
      </c>
      <c r="AR48" s="188">
        <f t="shared" si="10"/>
        <v>40.715583813626516</v>
      </c>
      <c r="AS48" s="188">
        <f t="shared" si="11"/>
        <v>-13.345663583355364</v>
      </c>
      <c r="AT48" s="188">
        <f t="shared" si="20"/>
        <v>-10.178895953406629</v>
      </c>
      <c r="AU48" s="188">
        <f t="shared" si="20"/>
        <v>3.336415895838841</v>
      </c>
    </row>
    <row r="49" spans="1:47" s="77" customFormat="1" ht="12.75" x14ac:dyDescent="0.2">
      <c r="A49" s="73"/>
      <c r="E49" s="80" t="s">
        <v>241</v>
      </c>
      <c r="F49" s="174">
        <v>3</v>
      </c>
      <c r="G49" s="73" t="s">
        <v>136</v>
      </c>
      <c r="H49" s="73"/>
      <c r="I49" s="73"/>
      <c r="J49" s="73"/>
      <c r="K49" s="73"/>
      <c r="L49" s="157"/>
      <c r="M49" s="156"/>
      <c r="N49" s="156"/>
      <c r="O49" s="156"/>
      <c r="P49" s="156"/>
      <c r="Q49" s="156"/>
      <c r="R49" s="156"/>
      <c r="S49" s="156"/>
      <c r="T49" s="156"/>
      <c r="U49" s="157"/>
      <c r="V49" s="88">
        <v>30</v>
      </c>
      <c r="W49" s="168">
        <f t="shared" si="0"/>
        <v>4.9999999999999378E-2</v>
      </c>
      <c r="X49" s="168">
        <f t="shared" si="12"/>
        <v>-4.9999999999999378E-2</v>
      </c>
      <c r="Y49" s="178">
        <f t="shared" si="21"/>
        <v>1.4500000000000006</v>
      </c>
      <c r="Z49" s="84">
        <f t="shared" si="13"/>
        <v>1.5000000000000007</v>
      </c>
      <c r="AA49" s="84">
        <f t="shared" si="14"/>
        <v>1.4750000000000005</v>
      </c>
      <c r="AB49" s="178">
        <f t="shared" si="1"/>
        <v>0.74583333333333335</v>
      </c>
      <c r="AC49" s="178">
        <f t="shared" si="2"/>
        <v>0</v>
      </c>
      <c r="AD49" s="178">
        <f t="shared" si="3"/>
        <v>0</v>
      </c>
      <c r="AE49" s="181">
        <f t="shared" si="4"/>
        <v>3.7291666666666667E-2</v>
      </c>
      <c r="AF49" s="182">
        <f t="shared" si="15"/>
        <v>0</v>
      </c>
      <c r="AG49" s="162">
        <f t="shared" si="16"/>
        <v>2.1141407151095732</v>
      </c>
      <c r="AH49" s="181">
        <f t="shared" si="17"/>
        <v>2.1141407151095732</v>
      </c>
      <c r="AI49" s="180">
        <f t="shared" si="5"/>
        <v>0</v>
      </c>
      <c r="AJ49" s="180">
        <f t="shared" si="6"/>
        <v>3.6315191516987665E-2</v>
      </c>
      <c r="AK49" s="180">
        <f t="shared" si="7"/>
        <v>3.6315191516987665E-2</v>
      </c>
      <c r="AL49" s="183">
        <f t="shared" si="22"/>
        <v>0</v>
      </c>
      <c r="AM49" s="183">
        <f t="shared" si="18"/>
        <v>-1.2037813484334801E-2</v>
      </c>
      <c r="AN49" s="186">
        <f t="shared" si="19"/>
        <v>-1.2037813484334801E-2</v>
      </c>
      <c r="AO49" s="180">
        <f>SUM($AN$19:AN49)</f>
        <v>-0.25697525186948472</v>
      </c>
      <c r="AP49" s="181">
        <f t="shared" si="8"/>
        <v>2.0587823453782903</v>
      </c>
      <c r="AQ49" s="181">
        <f t="shared" si="9"/>
        <v>-0.68244822189391485</v>
      </c>
      <c r="AR49" s="188">
        <f t="shared" si="10"/>
        <v>41.175646907565806</v>
      </c>
      <c r="AS49" s="188">
        <f t="shared" si="11"/>
        <v>-13.648964437878297</v>
      </c>
      <c r="AT49" s="188">
        <f t="shared" si="20"/>
        <v>-10.293911726891452</v>
      </c>
      <c r="AU49" s="188">
        <f t="shared" si="20"/>
        <v>3.4122411094695742</v>
      </c>
    </row>
    <row r="50" spans="1:47" s="77" customFormat="1" ht="12.75" x14ac:dyDescent="0.2">
      <c r="L50" s="157"/>
      <c r="M50" s="156"/>
      <c r="N50" s="156"/>
      <c r="O50" s="156"/>
      <c r="P50" s="156"/>
      <c r="Q50" s="156"/>
      <c r="R50" s="156"/>
      <c r="S50" s="156"/>
      <c r="T50" s="156"/>
      <c r="U50" s="157"/>
      <c r="V50" s="88"/>
      <c r="W50" s="88"/>
      <c r="X50" s="168">
        <f t="shared" si="12"/>
        <v>0</v>
      </c>
      <c r="Y50" s="194"/>
      <c r="Z50" s="83">
        <f t="shared" si="13"/>
        <v>0.05</v>
      </c>
      <c r="AA50" s="160">
        <f t="shared" si="14"/>
        <v>2.5000000000000001E-2</v>
      </c>
      <c r="AB50" s="165">
        <f t="shared" si="1"/>
        <v>0.50416666666666665</v>
      </c>
      <c r="AC50" s="160">
        <f t="shared" si="2"/>
        <v>0</v>
      </c>
      <c r="AD50" s="83">
        <f t="shared" si="3"/>
        <v>0</v>
      </c>
      <c r="AE50" s="83">
        <f t="shared" si="4"/>
        <v>2.5208333333333333E-2</v>
      </c>
      <c r="AF50" s="83">
        <f t="shared" si="15"/>
        <v>0</v>
      </c>
      <c r="AG50" s="83">
        <f t="shared" si="16"/>
        <v>1.4291118800461362</v>
      </c>
      <c r="AH50" s="77">
        <f t="shared" si="17"/>
        <v>1.4291118800461362</v>
      </c>
      <c r="AI50" s="77">
        <f t="shared" si="5"/>
        <v>0</v>
      </c>
      <c r="AJ50" s="83">
        <f t="shared" si="6"/>
        <v>2.4548257952824063E-2</v>
      </c>
      <c r="AK50" s="83">
        <f t="shared" si="7"/>
        <v>2.4548257952824063E-2</v>
      </c>
      <c r="AL50" s="73">
        <f t="shared" si="22"/>
        <v>0</v>
      </c>
      <c r="AM50" s="77">
        <f t="shared" si="18"/>
        <v>-5.500628170910577E-3</v>
      </c>
      <c r="AN50" s="77">
        <f t="shared" si="19"/>
        <v>-5.500628170910577E-3</v>
      </c>
      <c r="AP50" s="77">
        <f t="shared" si="8"/>
        <v>1.3916908591663304</v>
      </c>
      <c r="AQ50" s="77">
        <f t="shared" si="9"/>
        <v>-0.31184184066504811</v>
      </c>
      <c r="AR50" s="77">
        <f t="shared" si="10"/>
        <v>27.833817183326605</v>
      </c>
      <c r="AS50" s="77">
        <f t="shared" si="11"/>
        <v>-6.236836813300962</v>
      </c>
      <c r="AT50" s="77">
        <f t="shared" si="20"/>
        <v>-6.9584542958316513</v>
      </c>
      <c r="AU50" s="77">
        <f t="shared" si="20"/>
        <v>1.5592092033252405</v>
      </c>
    </row>
    <row r="51" spans="1:47" s="77" customFormat="1" ht="12.75" x14ac:dyDescent="0.2">
      <c r="L51" s="157"/>
      <c r="M51" s="156"/>
      <c r="N51" s="156"/>
      <c r="O51" s="156"/>
      <c r="P51" s="156"/>
      <c r="Q51" s="156"/>
      <c r="R51" s="156"/>
      <c r="S51" s="156"/>
      <c r="T51" s="156"/>
      <c r="U51" s="157"/>
      <c r="V51" s="88"/>
      <c r="W51" s="88"/>
      <c r="Y51" s="194"/>
      <c r="Z51" s="83">
        <f t="shared" si="13"/>
        <v>0.05</v>
      </c>
      <c r="AA51" s="73">
        <f t="shared" si="14"/>
        <v>2.5000000000000001E-2</v>
      </c>
      <c r="AB51" s="164">
        <f t="shared" si="1"/>
        <v>0.50416666666666665</v>
      </c>
      <c r="AC51" s="76" t="s">
        <v>163</v>
      </c>
      <c r="AD51" s="84">
        <f>SUM(AD20:AD50)</f>
        <v>0</v>
      </c>
      <c r="AE51" s="84">
        <f>SUM(AE20:AE50)</f>
        <v>0.96270833333333328</v>
      </c>
      <c r="AF51" s="83"/>
      <c r="AG51" s="83"/>
      <c r="AH51" s="184">
        <f>SUM(AH20:AH50)</f>
        <v>54.577900807381781</v>
      </c>
      <c r="AI51" s="184"/>
      <c r="AJ51" s="73"/>
      <c r="AK51" s="184">
        <f>SUM(AK20:AK50)</f>
        <v>0.9375</v>
      </c>
      <c r="AM51" s="77">
        <f t="shared" si="18"/>
        <v>-0.21006944444444442</v>
      </c>
      <c r="AN51" s="184">
        <f>SUM(AN20:AN50)</f>
        <v>-0.26247588004039529</v>
      </c>
      <c r="AP51" s="184">
        <f>SUM(AP20:AP50)</f>
        <v>53.148788927335644</v>
      </c>
      <c r="AQ51" s="184">
        <f>SUM(AQ20:AQ50)</f>
        <v>-14.880293489902549</v>
      </c>
    </row>
    <row r="52" spans="1:47" s="77" customFormat="1" ht="12.75" x14ac:dyDescent="0.2">
      <c r="A52" s="73"/>
      <c r="B52" s="73" t="s">
        <v>242</v>
      </c>
      <c r="F52" s="82"/>
      <c r="G52" s="73"/>
      <c r="H52" s="82"/>
      <c r="I52" s="82"/>
      <c r="J52" s="73"/>
      <c r="K52" s="73"/>
      <c r="L52" s="157"/>
      <c r="M52" s="156"/>
      <c r="N52" s="156"/>
      <c r="O52" s="156"/>
      <c r="P52" s="156"/>
      <c r="Q52" s="156"/>
      <c r="R52" s="156"/>
      <c r="S52" s="156"/>
      <c r="T52" s="156"/>
      <c r="U52" s="157"/>
      <c r="V52" s="88"/>
      <c r="W52" s="88"/>
      <c r="Y52" s="194"/>
      <c r="Z52" s="73"/>
      <c r="AA52" s="73"/>
      <c r="AB52" s="73"/>
      <c r="AC52" s="73"/>
      <c r="AD52" s="73"/>
      <c r="AE52" s="73"/>
      <c r="AF52" s="73"/>
      <c r="AG52" s="73"/>
      <c r="AH52" s="73"/>
      <c r="AI52" s="73"/>
      <c r="AJ52" s="73"/>
      <c r="AP52" s="184"/>
    </row>
    <row r="53" spans="1:47" s="77" customFormat="1" ht="12.75" x14ac:dyDescent="0.2">
      <c r="A53" s="73"/>
      <c r="B53" s="82"/>
      <c r="C53" s="109" t="s">
        <v>235</v>
      </c>
      <c r="D53" s="77" t="str">
        <f>[1]!xln(D54)</f>
        <v>1.5 × (0.75 + 0.5) / 2</v>
      </c>
      <c r="E53" s="73"/>
      <c r="F53" s="88"/>
      <c r="G53" s="76" t="s">
        <v>236</v>
      </c>
      <c r="H53" s="77" t="str">
        <f>[1]!xln(H54)</f>
        <v>56.7 × 0.938</v>
      </c>
      <c r="I53" s="84"/>
      <c r="J53" s="87"/>
      <c r="K53" s="87"/>
      <c r="L53" s="157"/>
      <c r="M53" s="156"/>
      <c r="N53" s="156"/>
      <c r="O53" s="156"/>
      <c r="P53" s="156"/>
      <c r="Q53" s="156"/>
      <c r="R53" s="156"/>
      <c r="S53" s="156"/>
      <c r="T53" s="156"/>
      <c r="U53" s="157"/>
      <c r="V53" s="88"/>
      <c r="W53" s="88"/>
      <c r="Y53" s="194"/>
      <c r="AD53" s="76" t="s">
        <v>164</v>
      </c>
      <c r="AE53" s="181">
        <f>AD51+AE51</f>
        <v>0.96270833333333328</v>
      </c>
      <c r="AF53" s="171"/>
      <c r="AG53" s="171"/>
      <c r="AH53" s="171"/>
      <c r="AI53" s="171"/>
    </row>
    <row r="54" spans="1:47" s="77" customFormat="1" ht="12.75" x14ac:dyDescent="0.2">
      <c r="A54" s="73"/>
      <c r="C54" s="76" t="s">
        <v>82</v>
      </c>
      <c r="D54" s="73">
        <f>E47*(G42+A41)/2</f>
        <v>0.9375</v>
      </c>
      <c r="E54" s="89" t="s">
        <v>142</v>
      </c>
      <c r="F54" s="88"/>
      <c r="G54" s="175" t="s">
        <v>82</v>
      </c>
      <c r="H54" s="158">
        <f>C32*D54</f>
        <v>53.148788927335644</v>
      </c>
      <c r="I54" s="101" t="s">
        <v>143</v>
      </c>
      <c r="J54" s="87"/>
      <c r="K54" s="87"/>
      <c r="L54" s="157"/>
      <c r="M54" s="156"/>
      <c r="N54" s="156"/>
      <c r="O54" s="156"/>
      <c r="P54" s="156"/>
      <c r="Q54" s="156"/>
      <c r="R54" s="156"/>
      <c r="S54" s="156"/>
      <c r="T54" s="156"/>
      <c r="U54" s="157"/>
      <c r="V54" s="88"/>
      <c r="W54" s="88"/>
      <c r="Y54" s="194"/>
    </row>
    <row r="55" spans="1:47" s="77" customFormat="1" ht="12.75" x14ac:dyDescent="0.2">
      <c r="A55" s="73"/>
      <c r="B55" s="89" t="s">
        <v>243</v>
      </c>
      <c r="J55" s="87"/>
      <c r="K55" s="87"/>
      <c r="L55" s="157"/>
      <c r="M55" s="156"/>
      <c r="N55" s="156"/>
      <c r="O55" s="156"/>
      <c r="P55" s="156"/>
      <c r="Q55" s="156"/>
      <c r="R55" s="156"/>
      <c r="S55" s="156"/>
      <c r="T55" s="156"/>
      <c r="U55" s="157"/>
      <c r="V55" s="166"/>
      <c r="W55" s="88"/>
      <c r="Y55" s="194"/>
    </row>
    <row r="56" spans="1:47" s="28" customFormat="1" ht="12.75" x14ac:dyDescent="0.2">
      <c r="A56" s="5"/>
      <c r="B56" s="46"/>
      <c r="C56" s="109" t="s">
        <v>235</v>
      </c>
      <c r="D56" s="116">
        <f>D54*2</f>
        <v>1.875</v>
      </c>
      <c r="E56" s="89" t="s">
        <v>142</v>
      </c>
      <c r="F56" s="40"/>
      <c r="G56" s="76" t="s">
        <v>236</v>
      </c>
      <c r="H56" s="116">
        <f>H54*2</f>
        <v>106.29757785467129</v>
      </c>
      <c r="I56" s="101" t="s">
        <v>143</v>
      </c>
      <c r="J56" s="47"/>
      <c r="K56" s="47"/>
      <c r="L56" s="30"/>
      <c r="M56" s="27"/>
      <c r="N56" s="27"/>
      <c r="O56" s="27"/>
      <c r="P56" s="27"/>
      <c r="Q56" s="27"/>
      <c r="R56" s="27"/>
      <c r="S56" s="27"/>
      <c r="T56" s="27"/>
      <c r="U56" s="30"/>
      <c r="V56" s="5"/>
      <c r="W56" s="5"/>
      <c r="Y56" s="195"/>
    </row>
    <row r="57" spans="1:47" s="28" customFormat="1" ht="12.75" x14ac:dyDescent="0.2">
      <c r="A57" s="58"/>
      <c r="B57" s="59"/>
      <c r="C57" s="60"/>
      <c r="D57" s="58"/>
      <c r="E57" s="58"/>
      <c r="F57" s="58"/>
      <c r="G57" s="60"/>
      <c r="H57" s="58"/>
      <c r="I57" s="58"/>
      <c r="J57" s="58"/>
      <c r="K57" s="58"/>
      <c r="L57" s="30"/>
      <c r="M57" s="27"/>
      <c r="N57" s="27"/>
      <c r="O57" s="27"/>
      <c r="P57" s="27"/>
      <c r="Q57" s="27"/>
      <c r="R57" s="27"/>
      <c r="S57" s="27"/>
      <c r="T57" s="27"/>
      <c r="U57" s="30"/>
      <c r="V57" s="30"/>
      <c r="W57" s="30"/>
      <c r="Y57" s="195"/>
    </row>
    <row r="58" spans="1:47" s="28" customFormat="1" ht="12.75" x14ac:dyDescent="0.2">
      <c r="A58" s="58"/>
      <c r="B58" s="59"/>
      <c r="C58" s="60"/>
      <c r="D58" s="58"/>
      <c r="E58" s="58"/>
      <c r="F58" s="58"/>
      <c r="G58" s="60"/>
      <c r="H58" s="58"/>
      <c r="I58" s="58"/>
      <c r="J58" s="58"/>
      <c r="K58" s="58"/>
      <c r="L58" s="30"/>
      <c r="M58" s="27"/>
      <c r="N58" s="27"/>
      <c r="O58" s="27"/>
      <c r="P58" s="27"/>
      <c r="Q58" s="27"/>
      <c r="R58" s="27"/>
      <c r="S58" s="27"/>
      <c r="T58" s="27"/>
      <c r="U58" s="30"/>
      <c r="V58" s="30"/>
      <c r="W58" s="30"/>
      <c r="Y58" s="195"/>
    </row>
    <row r="59" spans="1:47" s="28" customFormat="1" ht="12.75" x14ac:dyDescent="0.2">
      <c r="A59" s="58"/>
      <c r="B59" s="59"/>
      <c r="C59" s="60"/>
      <c r="D59" s="58"/>
      <c r="E59" s="58"/>
      <c r="F59" s="58"/>
      <c r="G59" s="60"/>
      <c r="H59" s="58"/>
      <c r="I59" s="58"/>
      <c r="J59" s="58"/>
      <c r="K59" s="58"/>
      <c r="L59" s="30"/>
      <c r="M59" s="27"/>
      <c r="N59" s="27"/>
      <c r="O59" s="27"/>
      <c r="P59" s="27"/>
      <c r="Q59" s="27"/>
      <c r="R59" s="27"/>
      <c r="S59" s="27"/>
      <c r="T59" s="27"/>
      <c r="U59" s="30"/>
      <c r="V59" s="30"/>
      <c r="W59" s="30"/>
      <c r="Y59" s="195"/>
    </row>
    <row r="60" spans="1:47" s="28" customFormat="1" ht="12.75" x14ac:dyDescent="0.2">
      <c r="A60" s="58"/>
      <c r="B60" s="59"/>
      <c r="C60" s="60"/>
      <c r="D60" s="58"/>
      <c r="E60" s="58"/>
      <c r="F60" s="58"/>
      <c r="G60" s="60"/>
      <c r="H60" s="58"/>
      <c r="I60" s="58"/>
      <c r="J60" s="58"/>
      <c r="K60" s="58"/>
      <c r="L60" s="30"/>
      <c r="M60" s="27"/>
      <c r="N60" s="27"/>
      <c r="O60" s="27"/>
      <c r="P60" s="27"/>
      <c r="Q60" s="27"/>
      <c r="R60" s="27"/>
      <c r="S60" s="27"/>
      <c r="T60" s="27"/>
      <c r="U60" s="30"/>
      <c r="V60" s="30"/>
      <c r="W60" s="30"/>
      <c r="Y60" s="195"/>
    </row>
    <row r="61" spans="1:47" s="28" customFormat="1" ht="12.75" x14ac:dyDescent="0.2">
      <c r="A61" s="58"/>
      <c r="B61" s="59"/>
      <c r="C61" s="60"/>
      <c r="D61" s="58"/>
      <c r="E61" s="58"/>
      <c r="F61" s="58"/>
      <c r="G61" s="60"/>
      <c r="H61" s="58"/>
      <c r="I61" s="58"/>
      <c r="J61" s="58"/>
      <c r="K61" s="58"/>
      <c r="L61" s="30"/>
      <c r="M61" s="27"/>
      <c r="N61" s="27"/>
      <c r="O61" s="27"/>
      <c r="P61" s="27"/>
      <c r="Q61" s="27"/>
      <c r="R61" s="27"/>
      <c r="S61" s="27"/>
      <c r="T61" s="27"/>
      <c r="U61" s="30"/>
      <c r="V61" s="30"/>
      <c r="W61" s="30"/>
      <c r="Y61" s="195"/>
    </row>
    <row r="62" spans="1:47" s="28" customFormat="1" ht="12.75" x14ac:dyDescent="0.2">
      <c r="A62" s="58"/>
      <c r="B62" s="59"/>
      <c r="C62" s="60"/>
      <c r="D62" s="58"/>
      <c r="E62" s="58"/>
      <c r="F62" s="58"/>
      <c r="G62" s="60"/>
      <c r="H62" s="58"/>
      <c r="I62" s="58"/>
      <c r="J62" s="58"/>
      <c r="K62" s="58"/>
      <c r="L62" s="30"/>
      <c r="M62" s="27"/>
      <c r="N62" s="27"/>
      <c r="O62" s="27"/>
      <c r="P62" s="27"/>
      <c r="Q62" s="27"/>
      <c r="R62" s="27"/>
      <c r="S62" s="27"/>
      <c r="T62" s="27"/>
      <c r="U62" s="30"/>
      <c r="V62" s="30"/>
      <c r="W62" s="30"/>
      <c r="Y62" s="195"/>
    </row>
    <row r="63" spans="1:47" s="28" customFormat="1" ht="12.75" x14ac:dyDescent="0.2">
      <c r="A63" s="145" t="s">
        <v>118</v>
      </c>
      <c r="B63" s="146"/>
      <c r="C63" s="146"/>
      <c r="D63" s="146"/>
      <c r="E63" s="146"/>
      <c r="F63" s="146"/>
      <c r="G63" s="147"/>
      <c r="H63" s="147"/>
      <c r="I63" s="147"/>
      <c r="J63" s="147"/>
      <c r="K63" s="148"/>
      <c r="L63" s="30"/>
      <c r="M63" s="27"/>
      <c r="N63" s="27"/>
      <c r="O63" s="27"/>
      <c r="P63" s="27"/>
      <c r="Q63" s="27"/>
      <c r="R63" s="27"/>
      <c r="S63" s="27"/>
      <c r="T63" s="27"/>
      <c r="U63" s="30"/>
      <c r="V63" s="30"/>
      <c r="W63" s="30"/>
      <c r="Y63" s="195"/>
    </row>
    <row r="64" spans="1:47" s="28" customFormat="1" ht="12.75" x14ac:dyDescent="0.2">
      <c r="A64" s="149"/>
      <c r="B64" s="149"/>
      <c r="C64" s="149"/>
      <c r="D64" s="150"/>
      <c r="E64" s="150"/>
      <c r="F64" s="151" t="s">
        <v>119</v>
      </c>
      <c r="G64" s="152" t="s">
        <v>120</v>
      </c>
      <c r="H64" s="153"/>
      <c r="I64" s="154"/>
      <c r="J64" s="154"/>
      <c r="K64" s="155"/>
      <c r="L64" s="30"/>
      <c r="M64" s="27"/>
      <c r="N64" s="27"/>
      <c r="O64" s="27"/>
      <c r="P64" s="27"/>
      <c r="Q64" s="27"/>
      <c r="R64" s="27"/>
      <c r="S64" s="27"/>
      <c r="T64" s="27"/>
      <c r="U64" s="30"/>
      <c r="V64" s="30"/>
      <c r="W64" s="30"/>
      <c r="X64" s="195"/>
    </row>
    <row r="65" spans="1:35" s="5" customFormat="1" ht="12.75" x14ac:dyDescent="0.2">
      <c r="A65" s="14"/>
      <c r="E65" s="7" t="s">
        <v>1</v>
      </c>
      <c r="F65" s="8" t="str">
        <f>$C$1</f>
        <v>R. Abbott</v>
      </c>
      <c r="H65" s="15"/>
      <c r="I65" s="7" t="s">
        <v>8</v>
      </c>
      <c r="J65" s="16" t="str">
        <f>$G$2</f>
        <v>AA-SM-515-000</v>
      </c>
      <c r="K65" s="17"/>
      <c r="L65" s="18"/>
      <c r="M65" s="9"/>
      <c r="N65" s="9"/>
      <c r="O65" s="9"/>
      <c r="P65" s="9"/>
      <c r="Q65" s="11"/>
      <c r="R65" s="12"/>
      <c r="S65" s="36"/>
      <c r="T65" s="35"/>
      <c r="X65" s="196"/>
    </row>
    <row r="66" spans="1:35" s="5" customFormat="1" ht="12.75" x14ac:dyDescent="0.2">
      <c r="E66" s="7" t="s">
        <v>2</v>
      </c>
      <c r="F66" s="15" t="str">
        <f>$C$2</f>
        <v xml:space="preserve"> </v>
      </c>
      <c r="H66" s="15"/>
      <c r="I66" s="7" t="s">
        <v>9</v>
      </c>
      <c r="J66" s="17" t="str">
        <f>$G$3</f>
        <v>IR</v>
      </c>
      <c r="K66" s="17"/>
      <c r="L66" s="18"/>
      <c r="M66" s="9">
        <v>1</v>
      </c>
      <c r="N66" s="9"/>
      <c r="O66" s="9"/>
      <c r="P66" s="9"/>
      <c r="Q66" s="11"/>
      <c r="R66" s="12"/>
      <c r="S66" s="36"/>
      <c r="T66" s="35"/>
    </row>
    <row r="67" spans="1:35" s="5" customFormat="1" ht="12.75" x14ac:dyDescent="0.2">
      <c r="E67" s="7" t="s">
        <v>3</v>
      </c>
      <c r="F67" s="15" t="str">
        <f>$C$3</f>
        <v>05/03/2017</v>
      </c>
      <c r="H67" s="15"/>
      <c r="I67" s="7" t="s">
        <v>6</v>
      </c>
      <c r="J67" s="8" t="str">
        <f>L67&amp;" of "&amp;$G$1</f>
        <v>12 of 17</v>
      </c>
      <c r="K67" s="15"/>
      <c r="L67" s="18">
        <f>SUM($M$1:M66)</f>
        <v>12</v>
      </c>
      <c r="M67" s="9"/>
      <c r="N67" s="9"/>
      <c r="O67" s="9"/>
      <c r="P67" s="9"/>
      <c r="Q67" s="11"/>
      <c r="R67" s="12"/>
      <c r="S67" s="36"/>
      <c r="T67" s="35"/>
    </row>
    <row r="68" spans="1:35" s="5" customFormat="1" ht="12.75" x14ac:dyDescent="0.2">
      <c r="A68" s="26"/>
      <c r="B68" s="26"/>
      <c r="C68" s="26"/>
      <c r="D68" s="26"/>
      <c r="E68" s="7" t="s">
        <v>29</v>
      </c>
      <c r="F68" s="15" t="str">
        <f>$C$5</f>
        <v>STANDARD SPREADSHEET METHOD</v>
      </c>
      <c r="I68" s="19"/>
      <c r="J68" s="8"/>
      <c r="M68" s="9"/>
      <c r="N68" s="9"/>
      <c r="O68" s="9"/>
      <c r="P68" s="9"/>
      <c r="Q68" s="9"/>
      <c r="R68" s="9"/>
      <c r="S68" s="34"/>
      <c r="T68" s="35"/>
    </row>
    <row r="69" spans="1:35" s="28" customFormat="1" x14ac:dyDescent="0.25">
      <c r="A69" s="70"/>
      <c r="B69" s="21" t="str">
        <f>$G$4</f>
        <v>SIMPLIFIED PART 23 AIRCRAFT LOADS</v>
      </c>
      <c r="C69" s="71"/>
      <c r="D69" s="71"/>
      <c r="E69" s="72"/>
      <c r="F69" s="71"/>
      <c r="G69" s="71"/>
      <c r="H69" s="71"/>
      <c r="I69" s="71"/>
      <c r="J69" s="71"/>
      <c r="K69" s="71"/>
      <c r="L69" s="30"/>
      <c r="M69" s="37"/>
      <c r="N69" s="38"/>
      <c r="O69" s="38"/>
      <c r="P69" s="38"/>
      <c r="Q69" s="38"/>
      <c r="R69" s="37"/>
      <c r="S69" s="37"/>
      <c r="T69" s="39"/>
    </row>
    <row r="70" spans="1:35" s="26" customFormat="1" ht="12.75" x14ac:dyDescent="0.2">
      <c r="A70" s="73"/>
      <c r="B70" s="73" t="s">
        <v>47</v>
      </c>
      <c r="C70" s="73"/>
      <c r="D70" s="73"/>
      <c r="E70" s="73"/>
      <c r="F70" s="73"/>
      <c r="G70" s="73"/>
      <c r="H70" s="73"/>
      <c r="I70" s="73"/>
      <c r="J70" s="73"/>
      <c r="K70" s="73"/>
      <c r="L70" s="29"/>
      <c r="M70" s="27"/>
      <c r="N70" s="27"/>
      <c r="O70" s="27"/>
      <c r="P70" s="27"/>
      <c r="Q70" s="27"/>
      <c r="R70" s="27"/>
      <c r="S70" s="27"/>
      <c r="T70" s="27"/>
    </row>
    <row r="71" spans="1:35" s="26" customFormat="1" ht="12.75" x14ac:dyDescent="0.2">
      <c r="A71" s="73"/>
      <c r="B71" s="114"/>
      <c r="C71" s="73"/>
      <c r="D71" s="76"/>
      <c r="E71" s="73"/>
      <c r="F71" s="73"/>
      <c r="G71" s="77"/>
      <c r="H71" s="73"/>
      <c r="I71" s="73"/>
      <c r="J71" s="73"/>
      <c r="K71" s="73"/>
      <c r="M71" s="27"/>
      <c r="N71" s="27"/>
      <c r="O71" s="27"/>
      <c r="P71" s="27"/>
      <c r="Q71" s="27"/>
      <c r="R71" s="27"/>
      <c r="S71" s="27"/>
      <c r="T71" s="27"/>
    </row>
    <row r="72" spans="1:35" s="26" customFormat="1" ht="12.75" x14ac:dyDescent="0.2">
      <c r="B72" s="26" t="s">
        <v>186</v>
      </c>
      <c r="M72" s="27"/>
      <c r="N72" s="27"/>
      <c r="O72" s="27"/>
      <c r="P72" s="27"/>
      <c r="Q72" s="27"/>
      <c r="R72" s="27"/>
      <c r="S72" s="27"/>
      <c r="T72" s="27"/>
      <c r="V72" s="40"/>
      <c r="W72" s="40"/>
      <c r="Y72" s="5"/>
      <c r="Z72" s="5"/>
      <c r="AA72" s="5"/>
      <c r="AB72" s="5"/>
      <c r="AC72" s="7"/>
      <c r="AD72" s="5"/>
      <c r="AE72" s="5"/>
      <c r="AF72" s="5"/>
      <c r="AG72" s="5"/>
      <c r="AH72" s="5"/>
      <c r="AI72" s="5"/>
    </row>
    <row r="73" spans="1:35" s="28" customFormat="1" ht="13.5" customHeight="1" x14ac:dyDescent="0.2">
      <c r="L73" s="30"/>
      <c r="M73" s="27"/>
      <c r="N73" s="27"/>
      <c r="O73" s="27"/>
      <c r="P73" s="27"/>
      <c r="Q73" s="27"/>
      <c r="R73" s="27"/>
      <c r="S73" s="27"/>
      <c r="T73" s="27"/>
      <c r="U73" s="30"/>
      <c r="V73" s="40"/>
      <c r="W73" s="40"/>
      <c r="X73" s="30"/>
      <c r="Y73" s="5"/>
      <c r="Z73" s="18"/>
      <c r="AA73" s="46"/>
      <c r="AB73" s="46"/>
      <c r="AC73" s="5"/>
      <c r="AD73" s="5"/>
      <c r="AE73" s="5"/>
      <c r="AF73" s="5"/>
      <c r="AG73" s="5"/>
      <c r="AH73" s="5"/>
      <c r="AI73" s="5"/>
    </row>
    <row r="74" spans="1:35" s="28" customFormat="1" ht="12.75" x14ac:dyDescent="0.2">
      <c r="L74" s="30"/>
      <c r="M74" s="27"/>
      <c r="N74" s="27"/>
      <c r="O74" s="27"/>
      <c r="P74" s="27"/>
      <c r="Q74" s="27"/>
      <c r="R74" s="27"/>
      <c r="S74" s="27"/>
      <c r="T74" s="27"/>
      <c r="U74" s="30"/>
      <c r="V74" s="40"/>
      <c r="W74" s="40"/>
      <c r="X74" s="30"/>
      <c r="Y74" s="5"/>
      <c r="Z74" s="46"/>
      <c r="AA74" s="29"/>
      <c r="AB74" s="31"/>
      <c r="AC74" s="5"/>
      <c r="AD74" s="5"/>
      <c r="AE74" s="5"/>
      <c r="AF74" s="5"/>
      <c r="AG74" s="5"/>
      <c r="AH74" s="5"/>
      <c r="AI74" s="5"/>
    </row>
    <row r="75" spans="1:35" s="28" customFormat="1" ht="12.75" x14ac:dyDescent="0.2">
      <c r="C75" s="135" t="s">
        <v>165</v>
      </c>
      <c r="L75" s="30"/>
      <c r="M75" s="27"/>
      <c r="N75" s="27"/>
      <c r="O75" s="27"/>
      <c r="P75" s="27"/>
      <c r="Q75" s="27"/>
      <c r="R75" s="27"/>
      <c r="S75" s="27"/>
      <c r="T75" s="27"/>
      <c r="U75" s="30"/>
      <c r="V75" s="40"/>
      <c r="W75" s="40"/>
      <c r="X75" s="30"/>
      <c r="Y75" s="5"/>
      <c r="Z75" s="46"/>
      <c r="AA75" s="29"/>
      <c r="AB75" s="31"/>
      <c r="AC75" s="47"/>
      <c r="AD75" s="5"/>
      <c r="AE75" s="48"/>
      <c r="AF75" s="47"/>
      <c r="AG75" s="47"/>
      <c r="AH75" s="47"/>
      <c r="AI75" s="5"/>
    </row>
    <row r="76" spans="1:35" s="28" customFormat="1" ht="12.75" x14ac:dyDescent="0.2">
      <c r="L76" s="30"/>
      <c r="M76" s="27"/>
      <c r="N76" s="27"/>
      <c r="O76" s="27"/>
      <c r="P76" s="27"/>
      <c r="Q76" s="27"/>
      <c r="R76" s="27"/>
      <c r="S76" s="27"/>
      <c r="T76" s="27"/>
      <c r="U76" s="30"/>
      <c r="V76" s="40"/>
      <c r="X76" s="121"/>
      <c r="Y76" s="122"/>
      <c r="Z76" s="123"/>
      <c r="AA76" s="124"/>
      <c r="AB76" s="124"/>
      <c r="AC76" s="123"/>
      <c r="AD76" s="47"/>
      <c r="AE76" s="47"/>
      <c r="AH76" s="47"/>
      <c r="AI76" s="23"/>
    </row>
    <row r="77" spans="1:35" s="28" customFormat="1" ht="12.75" x14ac:dyDescent="0.2">
      <c r="L77" s="30"/>
      <c r="M77" s="27"/>
      <c r="N77" s="27"/>
      <c r="O77" s="27"/>
      <c r="P77" s="27"/>
      <c r="Q77" s="27"/>
      <c r="R77" s="27"/>
      <c r="S77" s="27"/>
      <c r="T77" s="27"/>
      <c r="U77" s="30"/>
      <c r="V77" s="40"/>
      <c r="W77" s="40"/>
      <c r="X77" s="30"/>
      <c r="Y77" s="23"/>
      <c r="Z77" s="50"/>
      <c r="AA77" s="29"/>
      <c r="AB77" s="31"/>
      <c r="AC77" s="51"/>
      <c r="AD77" s="51"/>
      <c r="AE77" s="51"/>
      <c r="AG77" s="47"/>
      <c r="AH77" s="51"/>
      <c r="AI77" s="23"/>
    </row>
    <row r="78" spans="1:35" s="28" customFormat="1" ht="12.75" x14ac:dyDescent="0.2">
      <c r="L78" s="30"/>
      <c r="M78" s="27"/>
      <c r="N78" s="27"/>
      <c r="O78" s="27"/>
      <c r="P78" s="27"/>
      <c r="Q78" s="27"/>
      <c r="R78" s="27"/>
      <c r="S78" s="27"/>
      <c r="T78" s="27"/>
      <c r="U78" s="30"/>
      <c r="V78" s="40"/>
      <c r="W78" s="40"/>
      <c r="X78" s="5"/>
      <c r="Y78" s="5"/>
      <c r="Z78" s="5"/>
      <c r="AA78" s="5"/>
      <c r="AB78" s="5"/>
      <c r="AC78" s="5"/>
      <c r="AD78" s="5"/>
      <c r="AE78" s="5"/>
      <c r="AF78" s="5"/>
      <c r="AG78" s="5"/>
      <c r="AH78" s="5"/>
      <c r="AI78" s="5"/>
    </row>
    <row r="79" spans="1:35" s="28" customFormat="1" ht="12.75" x14ac:dyDescent="0.2">
      <c r="L79" s="30"/>
      <c r="M79" s="27"/>
      <c r="N79" s="27"/>
      <c r="O79" s="27"/>
      <c r="P79" s="27"/>
      <c r="Q79" s="27"/>
      <c r="R79" s="27"/>
      <c r="S79" s="27"/>
      <c r="T79" s="27"/>
      <c r="U79" s="30"/>
      <c r="V79" s="40"/>
      <c r="W79" s="40"/>
      <c r="X79" s="23"/>
      <c r="Y79" s="23"/>
      <c r="Z79" s="23"/>
      <c r="AA79" s="23"/>
      <c r="AB79" s="23"/>
      <c r="AC79" s="23"/>
      <c r="AD79" s="5"/>
      <c r="AE79" s="5"/>
      <c r="AF79" s="5"/>
      <c r="AG79" s="5"/>
      <c r="AH79" s="51"/>
      <c r="AI79" s="5"/>
    </row>
    <row r="80" spans="1:35" s="28" customFormat="1" ht="12.75" x14ac:dyDescent="0.2">
      <c r="H80" s="28" t="s">
        <v>185</v>
      </c>
      <c r="L80" s="30"/>
      <c r="M80" s="27"/>
      <c r="N80" s="27"/>
      <c r="O80" s="27"/>
      <c r="P80" s="27"/>
      <c r="Q80" s="27"/>
      <c r="R80" s="27"/>
      <c r="S80" s="27"/>
      <c r="T80" s="27"/>
      <c r="U80" s="30"/>
      <c r="V80" s="40"/>
      <c r="W80" s="40"/>
      <c r="X80" s="30"/>
      <c r="Y80" s="5"/>
      <c r="Z80" s="5"/>
      <c r="AA80" s="5"/>
      <c r="AB80" s="5"/>
      <c r="AC80" s="5"/>
      <c r="AD80" s="18"/>
      <c r="AE80" s="18"/>
      <c r="AF80" s="18"/>
      <c r="AG80" s="18"/>
      <c r="AH80" s="51"/>
      <c r="AI80" s="5"/>
    </row>
    <row r="81" spans="1:35" s="28" customFormat="1" ht="12.75" x14ac:dyDescent="0.2">
      <c r="L81" s="30"/>
      <c r="M81" s="27"/>
      <c r="N81" s="27"/>
      <c r="O81" s="27"/>
      <c r="P81" s="27"/>
      <c r="Q81" s="27"/>
      <c r="R81" s="27"/>
      <c r="S81" s="27"/>
      <c r="T81" s="27"/>
      <c r="U81" s="30"/>
      <c r="V81" s="40"/>
      <c r="W81" s="40"/>
      <c r="X81" s="30"/>
      <c r="Y81" s="5"/>
      <c r="Z81" s="5"/>
      <c r="AA81" s="5"/>
      <c r="AB81" s="5"/>
      <c r="AC81" s="5"/>
      <c r="AD81" s="18"/>
      <c r="AE81" s="18"/>
      <c r="AF81" s="49"/>
      <c r="AG81" s="18"/>
      <c r="AH81" s="51"/>
      <c r="AI81" s="5"/>
    </row>
    <row r="82" spans="1:35" s="28" customFormat="1" ht="12.75" x14ac:dyDescent="0.2">
      <c r="A82" s="73"/>
      <c r="B82" s="75" t="s">
        <v>228</v>
      </c>
      <c r="C82" s="73"/>
      <c r="D82" s="76"/>
      <c r="E82" s="73"/>
      <c r="F82" s="73"/>
      <c r="G82" s="73"/>
      <c r="H82" s="73"/>
      <c r="I82" s="73"/>
      <c r="J82" s="73"/>
      <c r="K82" s="73"/>
      <c r="L82" s="30"/>
      <c r="M82" s="27"/>
      <c r="N82" s="27"/>
      <c r="O82" s="27"/>
      <c r="P82" s="27"/>
      <c r="Q82" s="27"/>
      <c r="R82" s="27"/>
      <c r="S82" s="27"/>
      <c r="T82" s="27"/>
      <c r="U82" s="30"/>
      <c r="V82" s="40"/>
      <c r="W82" s="40"/>
      <c r="X82" s="30"/>
      <c r="Y82" s="5"/>
      <c r="Z82" s="5"/>
      <c r="AA82" s="5"/>
      <c r="AB82" s="5"/>
      <c r="AC82" s="5"/>
      <c r="AD82" s="18"/>
      <c r="AE82" s="18"/>
      <c r="AF82" s="18"/>
      <c r="AG82" s="18"/>
      <c r="AH82" s="5"/>
      <c r="AI82" s="5"/>
    </row>
    <row r="83" spans="1:35" s="28" customFormat="1" ht="12.75" x14ac:dyDescent="0.2">
      <c r="L83" s="30"/>
      <c r="M83" s="27"/>
      <c r="N83" s="27"/>
      <c r="O83" s="27"/>
      <c r="P83" s="27"/>
      <c r="Q83" s="27"/>
      <c r="R83" s="27"/>
      <c r="S83" s="27"/>
      <c r="T83" s="27"/>
      <c r="U83" s="30"/>
      <c r="V83" s="40"/>
      <c r="W83" s="40"/>
      <c r="X83" s="117"/>
      <c r="Y83" s="117"/>
      <c r="Z83" s="117"/>
      <c r="AA83" s="117"/>
      <c r="AB83" s="117"/>
      <c r="AC83" s="117"/>
      <c r="AD83" s="18"/>
      <c r="AE83" s="18"/>
      <c r="AF83" s="18"/>
      <c r="AG83" s="18"/>
      <c r="AH83" s="5"/>
      <c r="AI83" s="5"/>
    </row>
    <row r="84" spans="1:35" s="28" customFormat="1" ht="12.75" x14ac:dyDescent="0.2">
      <c r="B84" s="193" t="s">
        <v>237</v>
      </c>
      <c r="L84" s="30"/>
      <c r="M84" s="27"/>
      <c r="N84" s="27"/>
      <c r="O84" s="27"/>
      <c r="P84" s="27"/>
      <c r="Q84" s="27"/>
      <c r="R84" s="27"/>
      <c r="S84" s="27"/>
      <c r="T84" s="27"/>
      <c r="U84" s="30"/>
      <c r="V84" s="40"/>
      <c r="W84" s="40"/>
      <c r="X84" s="117"/>
      <c r="Y84" s="117"/>
      <c r="Z84" s="117"/>
      <c r="AA84" s="117"/>
      <c r="AB84" s="117"/>
      <c r="AC84" s="117"/>
      <c r="AD84" s="18"/>
      <c r="AE84" s="40"/>
      <c r="AF84" s="117"/>
      <c r="AG84" s="117"/>
      <c r="AH84" s="5"/>
      <c r="AI84" s="5"/>
    </row>
    <row r="85" spans="1:35" s="28" customFormat="1" ht="12.75" x14ac:dyDescent="0.2">
      <c r="A85" s="73"/>
      <c r="B85" s="73"/>
      <c r="C85" s="73"/>
      <c r="D85" s="76"/>
      <c r="E85" s="73"/>
      <c r="F85" s="73"/>
      <c r="G85" s="73"/>
      <c r="H85" s="73"/>
      <c r="I85" s="73"/>
      <c r="J85" s="73"/>
      <c r="K85" s="73"/>
      <c r="L85" s="30"/>
      <c r="M85" s="27"/>
      <c r="N85" s="27"/>
      <c r="O85" s="27"/>
      <c r="P85" s="27"/>
      <c r="Q85" s="27"/>
      <c r="R85" s="27"/>
      <c r="S85" s="27"/>
      <c r="T85" s="27"/>
      <c r="U85" s="30"/>
      <c r="V85" s="40"/>
      <c r="W85" s="40"/>
      <c r="X85" s="117"/>
      <c r="Y85" s="117"/>
      <c r="Z85" s="117"/>
      <c r="AA85" s="117"/>
      <c r="AB85" s="117"/>
      <c r="AC85" s="117"/>
      <c r="AD85" s="18"/>
      <c r="AE85" s="51"/>
      <c r="AF85" s="54"/>
      <c r="AG85" s="51"/>
      <c r="AH85" s="51"/>
      <c r="AI85" s="23"/>
    </row>
    <row r="86" spans="1:35" s="28" customFormat="1" ht="12.75" x14ac:dyDescent="0.2">
      <c r="A86" s="77"/>
      <c r="B86" s="76"/>
      <c r="C86" s="76"/>
      <c r="D86" s="101"/>
      <c r="E86" s="77"/>
      <c r="F86" s="77"/>
      <c r="G86" s="77"/>
      <c r="H86" s="77"/>
      <c r="I86" s="77"/>
      <c r="J86" s="77"/>
      <c r="K86" s="77"/>
      <c r="L86" s="30"/>
      <c r="M86" s="27"/>
      <c r="N86" s="27"/>
      <c r="O86" s="27"/>
      <c r="P86" s="27"/>
      <c r="Q86" s="27"/>
      <c r="R86" s="27"/>
      <c r="S86" s="27"/>
      <c r="T86" s="27"/>
      <c r="U86" s="30"/>
      <c r="V86" s="40"/>
      <c r="W86" s="40"/>
      <c r="X86" s="117"/>
      <c r="Y86" s="117"/>
      <c r="Z86" s="117"/>
      <c r="AA86" s="117"/>
      <c r="AB86" s="117"/>
      <c r="AC86" s="117"/>
      <c r="AD86" s="18"/>
      <c r="AE86" s="45"/>
      <c r="AF86" s="45"/>
      <c r="AG86" s="45"/>
      <c r="AH86" s="45"/>
      <c r="AI86" s="44"/>
    </row>
    <row r="87" spans="1:35" s="28" customFormat="1" ht="12.75" x14ac:dyDescent="0.2">
      <c r="A87" s="73"/>
      <c r="B87" s="76"/>
      <c r="C87" s="158"/>
      <c r="D87" s="101"/>
      <c r="E87" s="73"/>
      <c r="F87" s="73"/>
      <c r="G87" s="73"/>
      <c r="H87" s="77"/>
      <c r="I87" s="77"/>
      <c r="J87" s="77"/>
      <c r="K87" s="73"/>
      <c r="L87" s="30"/>
      <c r="M87" s="27"/>
      <c r="N87" s="27"/>
      <c r="O87" s="27"/>
      <c r="P87" s="27"/>
      <c r="Q87" s="27"/>
      <c r="R87" s="27"/>
      <c r="S87" s="27"/>
      <c r="T87" s="27"/>
      <c r="U87" s="30"/>
      <c r="V87" s="40"/>
      <c r="W87" s="40"/>
      <c r="X87" s="117"/>
      <c r="Y87" s="117"/>
      <c r="Z87" s="117"/>
      <c r="AA87" s="117"/>
      <c r="AB87" s="117"/>
      <c r="AC87" s="117"/>
      <c r="AD87" s="18"/>
      <c r="AE87" s="45"/>
      <c r="AF87" s="45"/>
      <c r="AG87" s="45"/>
      <c r="AH87" s="45"/>
      <c r="AI87" s="44"/>
    </row>
    <row r="88" spans="1:35" s="28" customFormat="1" ht="12.75" x14ac:dyDescent="0.2">
      <c r="A88" s="73"/>
      <c r="B88" s="103"/>
      <c r="C88" s="104"/>
      <c r="D88" s="101"/>
      <c r="E88" s="73"/>
      <c r="F88" s="73"/>
      <c r="G88" s="73"/>
      <c r="H88" s="77"/>
      <c r="I88" s="77"/>
      <c r="J88" s="77"/>
      <c r="K88" s="73"/>
      <c r="L88" s="30"/>
      <c r="M88" s="27"/>
      <c r="N88" s="27"/>
      <c r="O88" s="27"/>
      <c r="P88" s="27"/>
      <c r="Q88" s="27"/>
      <c r="R88" s="27"/>
      <c r="S88" s="27"/>
      <c r="T88" s="27"/>
      <c r="U88" s="30"/>
      <c r="V88" s="40"/>
      <c r="W88" s="40"/>
      <c r="X88" s="117"/>
      <c r="Y88" s="117"/>
      <c r="Z88" s="117"/>
      <c r="AA88" s="117"/>
      <c r="AB88" s="117"/>
      <c r="AC88" s="117"/>
      <c r="AD88" s="18"/>
      <c r="AE88" s="45"/>
      <c r="AF88" s="45"/>
      <c r="AG88" s="45"/>
      <c r="AH88" s="45"/>
      <c r="AI88" s="44"/>
    </row>
    <row r="89" spans="1:35" s="28" customFormat="1" ht="12.75" x14ac:dyDescent="0.2">
      <c r="A89" s="79"/>
      <c r="B89" s="77"/>
      <c r="C89" s="77"/>
      <c r="D89" s="77"/>
      <c r="E89" s="77"/>
      <c r="F89" s="77"/>
      <c r="G89" s="77"/>
      <c r="H89" s="77"/>
      <c r="I89" s="73"/>
      <c r="J89" s="73"/>
      <c r="K89" s="73"/>
      <c r="L89" s="30"/>
      <c r="M89" s="27"/>
      <c r="N89" s="27"/>
      <c r="O89" s="27"/>
      <c r="P89" s="27"/>
      <c r="Q89" s="27"/>
      <c r="R89" s="27"/>
      <c r="S89" s="27"/>
      <c r="T89" s="27"/>
      <c r="U89" s="30"/>
      <c r="V89" s="40"/>
      <c r="W89" s="40"/>
      <c r="X89" s="117"/>
      <c r="Y89" s="117"/>
      <c r="Z89" s="117"/>
      <c r="AA89" s="117"/>
      <c r="AB89" s="117"/>
      <c r="AC89" s="117"/>
      <c r="AD89" s="18"/>
      <c r="AE89" s="45"/>
      <c r="AF89" s="45"/>
      <c r="AG89" s="45"/>
      <c r="AH89" s="45"/>
      <c r="AI89" s="44"/>
    </row>
    <row r="90" spans="1:35" s="28" customFormat="1" ht="12.75" x14ac:dyDescent="0.2">
      <c r="A90" s="77"/>
      <c r="B90" s="76"/>
      <c r="C90" s="76"/>
      <c r="D90" s="101"/>
      <c r="E90" s="77"/>
      <c r="F90" s="77"/>
      <c r="G90" s="77"/>
      <c r="H90" s="77"/>
      <c r="I90" s="77"/>
      <c r="J90" s="77"/>
      <c r="K90" s="77"/>
      <c r="L90" s="30"/>
      <c r="M90" s="27"/>
      <c r="N90" s="27"/>
      <c r="O90" s="27"/>
      <c r="P90" s="27"/>
      <c r="Q90" s="27"/>
      <c r="R90" s="27"/>
      <c r="S90" s="27"/>
      <c r="T90" s="27"/>
      <c r="U90" s="30"/>
      <c r="V90" s="40"/>
      <c r="W90" s="40"/>
      <c r="X90" s="117"/>
      <c r="Y90" s="117"/>
      <c r="Z90" s="117"/>
      <c r="AA90" s="117"/>
      <c r="AB90" s="117"/>
      <c r="AC90" s="117"/>
      <c r="AD90" s="18"/>
      <c r="AE90" s="40"/>
      <c r="AF90" s="117"/>
      <c r="AG90" s="117"/>
      <c r="AH90" s="45"/>
      <c r="AI90" s="44"/>
    </row>
    <row r="91" spans="1:35" s="28" customFormat="1" ht="12.75" x14ac:dyDescent="0.2">
      <c r="A91" s="77"/>
      <c r="B91" s="76"/>
      <c r="C91" s="158"/>
      <c r="D91" s="101"/>
      <c r="E91" s="77"/>
      <c r="F91" s="77"/>
      <c r="G91" s="77"/>
      <c r="H91" s="77"/>
      <c r="I91" s="77"/>
      <c r="J91" s="77"/>
      <c r="K91" s="77"/>
      <c r="L91" s="30"/>
      <c r="M91" s="27"/>
      <c r="N91" s="27"/>
      <c r="O91" s="27"/>
      <c r="P91" s="27"/>
      <c r="Q91" s="27"/>
      <c r="R91" s="27"/>
      <c r="S91" s="27"/>
      <c r="T91" s="27"/>
      <c r="U91" s="30"/>
      <c r="V91" s="40"/>
      <c r="W91" s="40"/>
      <c r="X91" s="117"/>
      <c r="Y91" s="117"/>
      <c r="Z91" s="117"/>
      <c r="AA91" s="117"/>
      <c r="AB91" s="117"/>
      <c r="AC91" s="117"/>
      <c r="AD91" s="18"/>
      <c r="AE91" s="43"/>
      <c r="AF91" s="54"/>
      <c r="AG91" s="42"/>
      <c r="AH91" s="5"/>
      <c r="AI91" s="5"/>
    </row>
    <row r="92" spans="1:35" s="28" customFormat="1" ht="12.75" x14ac:dyDescent="0.2">
      <c r="A92" s="77"/>
      <c r="B92" s="103"/>
      <c r="C92" s="104"/>
      <c r="D92" s="101"/>
      <c r="E92" s="77"/>
      <c r="F92" s="77"/>
      <c r="G92" s="77"/>
      <c r="H92" s="77"/>
      <c r="I92" s="77"/>
      <c r="J92" s="77"/>
      <c r="K92" s="77"/>
      <c r="L92" s="30"/>
      <c r="M92" s="27"/>
      <c r="N92" s="27"/>
      <c r="O92" s="27"/>
      <c r="P92" s="27"/>
      <c r="Q92" s="27"/>
      <c r="R92" s="27"/>
      <c r="S92" s="27"/>
      <c r="T92" s="27"/>
      <c r="U92" s="30"/>
      <c r="V92" s="40"/>
      <c r="W92" s="40"/>
      <c r="X92" s="117"/>
      <c r="Y92" s="117"/>
      <c r="Z92" s="117"/>
      <c r="AA92" s="117"/>
      <c r="AB92" s="117"/>
      <c r="AC92" s="117"/>
      <c r="AD92" s="18"/>
      <c r="AE92" s="41"/>
      <c r="AF92" s="41"/>
      <c r="AG92" s="41"/>
      <c r="AH92" s="41"/>
      <c r="AI92" s="41"/>
    </row>
    <row r="93" spans="1:35" s="28" customFormat="1" ht="12.75" x14ac:dyDescent="0.2">
      <c r="A93" s="77"/>
      <c r="B93" s="77"/>
      <c r="C93" s="77"/>
      <c r="D93" s="77"/>
      <c r="E93" s="77"/>
      <c r="F93" s="77"/>
      <c r="G93" s="77"/>
      <c r="H93" s="77"/>
      <c r="I93" s="77"/>
      <c r="J93" s="77"/>
      <c r="K93" s="77"/>
      <c r="L93" s="30"/>
      <c r="M93" s="27"/>
      <c r="N93" s="27"/>
      <c r="O93" s="27"/>
      <c r="P93" s="27"/>
      <c r="Q93" s="27"/>
      <c r="R93" s="27"/>
      <c r="S93" s="27"/>
      <c r="T93" s="27"/>
      <c r="U93" s="30"/>
      <c r="V93" s="40"/>
      <c r="W93" s="40"/>
      <c r="X93" s="117"/>
      <c r="Y93" s="117"/>
      <c r="Z93" s="117"/>
      <c r="AA93" s="117"/>
      <c r="AB93" s="117"/>
      <c r="AC93" s="117"/>
      <c r="AD93" s="18"/>
      <c r="AE93" s="41"/>
      <c r="AF93" s="49"/>
      <c r="AG93" s="49"/>
      <c r="AH93" s="41"/>
      <c r="AI93" s="41"/>
    </row>
    <row r="94" spans="1:35" s="28" customFormat="1" ht="12.75" x14ac:dyDescent="0.2">
      <c r="A94" s="77"/>
      <c r="B94" s="77"/>
      <c r="C94" s="77"/>
      <c r="D94" s="77"/>
      <c r="E94" s="77"/>
      <c r="F94" s="77"/>
      <c r="G94" s="77"/>
      <c r="H94" s="77"/>
      <c r="I94" s="77"/>
      <c r="J94" s="77"/>
      <c r="K94" s="77"/>
      <c r="L94" s="30"/>
      <c r="M94" s="27"/>
      <c r="N94" s="27"/>
      <c r="O94" s="27"/>
      <c r="P94" s="27"/>
      <c r="Q94" s="27"/>
      <c r="R94" s="27"/>
      <c r="S94" s="27"/>
      <c r="T94" s="27"/>
      <c r="U94" s="30"/>
      <c r="V94" s="40"/>
      <c r="W94" s="40"/>
      <c r="X94" s="117"/>
      <c r="Y94" s="117"/>
      <c r="Z94" s="117"/>
      <c r="AA94" s="117"/>
      <c r="AB94" s="117"/>
      <c r="AC94" s="117"/>
      <c r="AD94" s="18"/>
      <c r="AE94" s="41"/>
      <c r="AF94" s="49"/>
      <c r="AG94" s="49"/>
      <c r="AH94" s="41"/>
      <c r="AI94" s="41"/>
    </row>
    <row r="95" spans="1:35" s="28" customFormat="1" ht="12.75" x14ac:dyDescent="0.2">
      <c r="A95" s="79"/>
      <c r="B95" s="80"/>
      <c r="C95" s="77"/>
      <c r="D95" s="77"/>
      <c r="E95" s="73"/>
      <c r="F95" s="73"/>
      <c r="G95" s="73"/>
      <c r="H95" s="81"/>
      <c r="I95" s="77"/>
      <c r="J95" s="77"/>
      <c r="K95" s="73"/>
      <c r="L95" s="30"/>
      <c r="M95" s="27"/>
      <c r="N95" s="27"/>
      <c r="O95" s="27"/>
      <c r="P95" s="27"/>
      <c r="Q95" s="27"/>
      <c r="R95" s="27"/>
      <c r="S95" s="27"/>
      <c r="T95" s="27"/>
      <c r="U95" s="30"/>
      <c r="V95" s="40"/>
      <c r="W95" s="40"/>
      <c r="X95" s="117"/>
      <c r="Y95" s="117"/>
      <c r="Z95" s="117"/>
      <c r="AA95" s="117"/>
      <c r="AB95" s="117"/>
      <c r="AC95" s="117"/>
      <c r="AD95" s="18"/>
      <c r="AE95" s="41"/>
      <c r="AF95" s="49"/>
      <c r="AG95" s="49"/>
      <c r="AH95" s="41"/>
      <c r="AI95" s="41"/>
    </row>
    <row r="96" spans="1:35" s="28" customFormat="1" ht="12.75" x14ac:dyDescent="0.2">
      <c r="A96" s="79"/>
      <c r="B96" s="76"/>
      <c r="C96" s="78"/>
      <c r="D96" s="73"/>
      <c r="E96" s="73"/>
      <c r="F96" s="82"/>
      <c r="G96" s="73"/>
      <c r="H96" s="82"/>
      <c r="I96" s="77"/>
      <c r="J96" s="77"/>
      <c r="K96" s="73"/>
      <c r="L96" s="30"/>
      <c r="M96" s="27"/>
      <c r="N96" s="27"/>
      <c r="O96" s="27"/>
      <c r="P96" s="27"/>
      <c r="Q96" s="27"/>
      <c r="R96" s="27"/>
      <c r="S96" s="27"/>
      <c r="T96" s="27"/>
      <c r="U96" s="30"/>
      <c r="V96" s="40"/>
      <c r="W96" s="40"/>
      <c r="X96" s="117"/>
      <c r="Y96" s="117"/>
      <c r="Z96" s="117"/>
      <c r="AA96" s="117"/>
      <c r="AB96" s="117"/>
      <c r="AC96" s="117"/>
      <c r="AD96" s="18"/>
      <c r="AE96" s="41"/>
      <c r="AF96" s="49"/>
      <c r="AG96" s="49"/>
      <c r="AH96" s="41"/>
      <c r="AI96" s="41"/>
    </row>
    <row r="97" spans="1:35" s="28" customFormat="1" ht="12.75" x14ac:dyDescent="0.2">
      <c r="A97" s="73"/>
      <c r="B97" s="76"/>
      <c r="C97" s="73"/>
      <c r="D97" s="73"/>
      <c r="E97" s="73"/>
      <c r="F97" s="82"/>
      <c r="G97" s="73"/>
      <c r="H97" s="82"/>
      <c r="I97" s="77"/>
      <c r="J97" s="77"/>
      <c r="K97" s="73"/>
      <c r="L97" s="30"/>
      <c r="M97" s="27"/>
      <c r="N97" s="27"/>
      <c r="O97" s="27"/>
      <c r="P97" s="27"/>
      <c r="Q97" s="27"/>
      <c r="R97" s="27"/>
      <c r="S97" s="27"/>
      <c r="T97" s="27"/>
      <c r="U97" s="30"/>
      <c r="V97" s="40"/>
      <c r="W97" s="40"/>
      <c r="X97" s="117"/>
      <c r="Y97" s="117"/>
      <c r="Z97" s="117"/>
      <c r="AA97" s="117"/>
      <c r="AB97" s="117"/>
      <c r="AC97" s="117"/>
      <c r="AD97" s="18"/>
      <c r="AE97" s="5"/>
      <c r="AF97" s="49"/>
      <c r="AG97" s="49"/>
      <c r="AH97" s="5"/>
      <c r="AI97" s="5"/>
    </row>
    <row r="98" spans="1:35" s="28" customFormat="1" ht="12.75" x14ac:dyDescent="0.2">
      <c r="A98" s="79"/>
      <c r="B98" s="80"/>
      <c r="C98" s="81"/>
      <c r="D98" s="73"/>
      <c r="E98" s="73"/>
      <c r="F98" s="84"/>
      <c r="G98" s="73"/>
      <c r="H98" s="84"/>
      <c r="I98" s="77"/>
      <c r="J98" s="77"/>
      <c r="K98" s="73"/>
      <c r="L98" s="30"/>
      <c r="M98" s="27"/>
      <c r="N98" s="27"/>
      <c r="O98" s="27"/>
      <c r="P98" s="27"/>
      <c r="Q98" s="27"/>
      <c r="R98" s="27"/>
      <c r="S98" s="27"/>
      <c r="T98" s="27"/>
      <c r="U98" s="30"/>
      <c r="V98" s="40"/>
      <c r="W98" s="40"/>
      <c r="X98" s="117"/>
      <c r="Y98" s="117"/>
      <c r="Z98" s="117"/>
      <c r="AA98" s="117"/>
      <c r="AB98" s="117"/>
      <c r="AC98" s="117"/>
      <c r="AD98" s="18"/>
      <c r="AE98" s="5"/>
      <c r="AF98" s="49"/>
      <c r="AG98" s="49"/>
      <c r="AH98" s="5"/>
      <c r="AI98" s="51"/>
    </row>
    <row r="99" spans="1:35" s="28" customFormat="1" ht="12.75" x14ac:dyDescent="0.2">
      <c r="A99" s="79"/>
      <c r="B99" s="80"/>
      <c r="C99" s="79"/>
      <c r="D99" s="76"/>
      <c r="E99" s="73"/>
      <c r="F99" s="84"/>
      <c r="G99" s="73"/>
      <c r="H99" s="84"/>
      <c r="I99" s="77"/>
      <c r="J99" s="77"/>
      <c r="K99" s="73"/>
      <c r="L99" s="30"/>
      <c r="M99" s="27"/>
      <c r="N99" s="27"/>
      <c r="O99" s="27"/>
      <c r="P99" s="27"/>
      <c r="Q99" s="27"/>
      <c r="R99" s="27"/>
      <c r="S99" s="27"/>
      <c r="T99" s="27"/>
      <c r="U99" s="30"/>
      <c r="V99" s="40"/>
      <c r="W99" s="40"/>
      <c r="X99" s="117"/>
      <c r="Y99" s="117"/>
      <c r="Z99" s="117"/>
      <c r="AA99" s="117"/>
      <c r="AB99" s="117"/>
      <c r="AC99" s="117"/>
      <c r="AD99" s="18"/>
      <c r="AE99" s="5"/>
      <c r="AF99" s="49"/>
      <c r="AG99" s="49"/>
      <c r="AH99" s="5"/>
      <c r="AI99" s="51"/>
    </row>
    <row r="100" spans="1:35" s="28" customFormat="1" ht="12.75" x14ac:dyDescent="0.2">
      <c r="A100" s="79"/>
      <c r="B100" s="77"/>
      <c r="C100" s="77"/>
      <c r="D100" s="77"/>
      <c r="E100" s="73"/>
      <c r="F100" s="84"/>
      <c r="G100" s="73"/>
      <c r="H100" s="84"/>
      <c r="I100" s="77"/>
      <c r="J100" s="77"/>
      <c r="K100" s="79"/>
      <c r="L100" s="30"/>
      <c r="M100" s="27"/>
      <c r="N100" s="27"/>
      <c r="O100" s="27"/>
      <c r="P100" s="27"/>
      <c r="Q100" s="27"/>
      <c r="R100" s="27"/>
      <c r="S100" s="27"/>
      <c r="T100" s="27"/>
      <c r="U100" s="30"/>
      <c r="V100" s="40"/>
      <c r="W100" s="40"/>
      <c r="X100" s="117"/>
      <c r="Y100" s="117"/>
      <c r="Z100" s="117"/>
      <c r="AA100" s="117"/>
      <c r="AB100" s="117"/>
      <c r="AC100" s="117"/>
      <c r="AD100" s="18"/>
      <c r="AE100" s="5"/>
      <c r="AF100" s="5"/>
      <c r="AG100" s="5"/>
      <c r="AH100" s="5"/>
      <c r="AI100" s="51"/>
    </row>
    <row r="101" spans="1:35" s="28" customFormat="1" ht="12.75" x14ac:dyDescent="0.2">
      <c r="A101" s="79"/>
      <c r="B101" s="77"/>
      <c r="C101" s="77"/>
      <c r="D101" s="77"/>
      <c r="E101" s="73"/>
      <c r="F101" s="84"/>
      <c r="G101" s="73"/>
      <c r="H101" s="84"/>
      <c r="I101" s="77"/>
      <c r="J101" s="77"/>
      <c r="K101" s="79"/>
      <c r="L101" s="30"/>
      <c r="M101" s="27"/>
      <c r="N101" s="27"/>
      <c r="O101" s="27"/>
      <c r="P101" s="27"/>
      <c r="Q101" s="27"/>
      <c r="R101" s="27"/>
      <c r="S101" s="27"/>
      <c r="T101" s="27"/>
      <c r="U101" s="30"/>
      <c r="V101" s="40"/>
      <c r="W101" s="40"/>
      <c r="X101" s="117"/>
      <c r="Y101" s="117"/>
      <c r="Z101" s="117"/>
      <c r="AA101" s="117"/>
      <c r="AB101" s="117"/>
      <c r="AC101" s="117"/>
      <c r="AD101" s="18"/>
      <c r="AE101" s="5"/>
      <c r="AF101" s="5"/>
      <c r="AG101" s="5"/>
      <c r="AH101" s="5"/>
      <c r="AI101" s="51"/>
    </row>
    <row r="102" spans="1:35" s="28" customFormat="1" ht="12.75" x14ac:dyDescent="0.2">
      <c r="A102" s="73"/>
      <c r="B102" s="77"/>
      <c r="C102" s="77"/>
      <c r="D102" s="77"/>
      <c r="E102" s="73"/>
      <c r="F102" s="73"/>
      <c r="G102" s="73"/>
      <c r="H102" s="73"/>
      <c r="I102" s="73"/>
      <c r="J102" s="73"/>
      <c r="K102" s="73"/>
      <c r="L102" s="30"/>
      <c r="M102" s="27"/>
      <c r="N102" s="27"/>
      <c r="O102" s="27"/>
      <c r="P102" s="27"/>
      <c r="Q102" s="27"/>
      <c r="R102" s="27"/>
      <c r="S102" s="27"/>
      <c r="T102" s="27"/>
      <c r="U102" s="30"/>
      <c r="V102" s="40"/>
      <c r="W102" s="40"/>
      <c r="X102" s="117"/>
      <c r="Y102" s="117"/>
      <c r="Z102" s="117"/>
      <c r="AA102" s="117"/>
      <c r="AB102" s="117"/>
      <c r="AC102" s="117"/>
      <c r="AD102" s="18"/>
      <c r="AE102" s="5"/>
      <c r="AF102" s="5"/>
      <c r="AG102" s="5"/>
      <c r="AH102" s="5"/>
      <c r="AI102" s="5"/>
    </row>
    <row r="103" spans="1:35" s="28" customFormat="1" ht="12.75" x14ac:dyDescent="0.2">
      <c r="A103" s="73"/>
      <c r="B103" s="77"/>
      <c r="C103" s="77"/>
      <c r="D103" s="77"/>
      <c r="E103" s="73"/>
      <c r="F103" s="73"/>
      <c r="G103" s="73"/>
      <c r="H103" s="73"/>
      <c r="I103" s="73"/>
      <c r="J103" s="73"/>
      <c r="K103" s="73"/>
      <c r="L103" s="30"/>
      <c r="M103" s="27"/>
      <c r="N103" s="27"/>
      <c r="O103" s="27"/>
      <c r="P103" s="27"/>
      <c r="Q103" s="27"/>
      <c r="R103" s="27"/>
      <c r="S103" s="27"/>
      <c r="T103" s="27"/>
      <c r="U103" s="30"/>
      <c r="V103" s="40"/>
      <c r="W103" s="40"/>
      <c r="X103" s="117"/>
      <c r="Y103" s="117"/>
      <c r="Z103" s="117"/>
      <c r="AA103" s="117"/>
      <c r="AB103" s="117"/>
      <c r="AC103" s="117"/>
      <c r="AD103" s="18"/>
      <c r="AE103" s="5"/>
      <c r="AF103" s="5"/>
      <c r="AG103" s="5"/>
      <c r="AH103" s="51"/>
      <c r="AI103" s="5"/>
    </row>
    <row r="104" spans="1:35" s="28" customFormat="1" ht="12.75" x14ac:dyDescent="0.2">
      <c r="A104" s="80"/>
      <c r="B104" s="80"/>
      <c r="C104" s="163"/>
      <c r="D104" s="77"/>
      <c r="E104" s="73"/>
      <c r="F104" s="73"/>
      <c r="G104" s="73"/>
      <c r="H104" s="73"/>
      <c r="I104" s="73"/>
      <c r="J104" s="73"/>
      <c r="K104" s="73"/>
      <c r="L104" s="30"/>
      <c r="M104" s="27"/>
      <c r="N104" s="27"/>
      <c r="O104" s="27"/>
      <c r="P104" s="27"/>
      <c r="Q104" s="27"/>
      <c r="R104" s="27"/>
      <c r="S104" s="27"/>
      <c r="T104" s="27"/>
      <c r="U104" s="30"/>
      <c r="V104" s="40"/>
      <c r="W104" s="40"/>
      <c r="X104" s="117"/>
      <c r="Y104" s="117"/>
      <c r="Z104" s="117"/>
      <c r="AA104" s="117"/>
      <c r="AB104" s="117"/>
      <c r="AC104" s="117"/>
      <c r="AD104" s="18"/>
      <c r="AE104" s="5"/>
      <c r="AF104" s="5"/>
      <c r="AG104" s="5"/>
      <c r="AH104" s="5"/>
      <c r="AI104" s="5"/>
    </row>
    <row r="105" spans="1:35" s="28" customFormat="1" ht="12.75" x14ac:dyDescent="0.2">
      <c r="A105" s="76"/>
      <c r="B105" s="76"/>
      <c r="C105" s="89"/>
      <c r="D105" s="88"/>
      <c r="E105" s="73"/>
      <c r="F105" s="76"/>
      <c r="G105" s="78"/>
      <c r="H105" s="73"/>
      <c r="I105" s="77"/>
      <c r="J105" s="73"/>
      <c r="K105" s="73"/>
      <c r="L105" s="30"/>
      <c r="M105" s="27"/>
      <c r="N105" s="27"/>
      <c r="O105" s="27"/>
      <c r="P105" s="27"/>
      <c r="Q105" s="27"/>
      <c r="R105" s="27"/>
      <c r="S105" s="27"/>
      <c r="T105" s="27"/>
      <c r="U105" s="30"/>
      <c r="V105" s="40"/>
      <c r="W105" s="40"/>
      <c r="X105" s="30"/>
      <c r="Y105" s="52"/>
      <c r="Z105" s="52"/>
      <c r="AA105" s="52"/>
      <c r="AB105" s="52"/>
      <c r="AC105" s="52"/>
      <c r="AD105" s="5"/>
      <c r="AE105" s="5"/>
      <c r="AF105" s="5"/>
      <c r="AG105" s="5"/>
      <c r="AH105" s="5"/>
      <c r="AI105" s="5"/>
    </row>
    <row r="106" spans="1:35" s="28" customFormat="1" ht="12.75" x14ac:dyDescent="0.2">
      <c r="A106" s="80"/>
      <c r="B106" s="77"/>
      <c r="C106" s="77"/>
      <c r="D106" s="88"/>
      <c r="E106" s="73"/>
      <c r="F106" s="76"/>
      <c r="G106" s="73"/>
      <c r="H106" s="73"/>
      <c r="I106" s="77"/>
      <c r="J106" s="81"/>
      <c r="K106" s="81"/>
      <c r="L106" s="30"/>
      <c r="M106" s="27"/>
      <c r="N106" s="27"/>
      <c r="O106" s="27"/>
      <c r="P106" s="27"/>
      <c r="Q106" s="27"/>
      <c r="R106" s="27"/>
      <c r="S106" s="27"/>
      <c r="T106" s="27"/>
      <c r="U106" s="30"/>
      <c r="V106" s="40"/>
      <c r="W106" s="40"/>
      <c r="X106" s="30"/>
      <c r="Y106" s="52"/>
      <c r="Z106" s="18"/>
      <c r="AA106" s="41"/>
      <c r="AB106" s="5"/>
      <c r="AC106" s="5"/>
      <c r="AD106" s="5"/>
      <c r="AE106" s="5"/>
      <c r="AF106" s="5"/>
      <c r="AG106" s="5"/>
      <c r="AH106" s="5"/>
      <c r="AI106" s="5"/>
    </row>
    <row r="107" spans="1:35" s="28" customFormat="1" ht="12.75" x14ac:dyDescent="0.2">
      <c r="A107" s="80"/>
      <c r="C107" s="77"/>
      <c r="D107" s="77"/>
      <c r="E107" s="77" t="s">
        <v>179</v>
      </c>
      <c r="F107" s="73"/>
      <c r="G107" s="80"/>
      <c r="H107" s="81"/>
      <c r="I107" s="77"/>
      <c r="J107" s="81"/>
      <c r="K107" s="81"/>
      <c r="L107" s="30"/>
      <c r="M107" s="27"/>
      <c r="N107" s="27"/>
      <c r="O107" s="27"/>
      <c r="P107" s="27"/>
      <c r="Q107" s="27"/>
      <c r="R107" s="27"/>
      <c r="S107" s="27"/>
      <c r="T107" s="27"/>
      <c r="U107" s="30"/>
      <c r="V107" s="40"/>
      <c r="W107" s="40"/>
      <c r="X107" s="30"/>
      <c r="Y107" s="18"/>
      <c r="Z107" s="51"/>
      <c r="AA107" s="55"/>
      <c r="AB107" s="51"/>
      <c r="AC107" s="5"/>
      <c r="AD107" s="5"/>
      <c r="AE107" s="5"/>
      <c r="AF107" s="5"/>
      <c r="AG107" s="5"/>
      <c r="AH107" s="5"/>
      <c r="AI107" s="5"/>
    </row>
    <row r="108" spans="1:35" s="28" customFormat="1" ht="12.75" x14ac:dyDescent="0.2">
      <c r="A108" s="73"/>
      <c r="C108" s="77"/>
      <c r="D108" s="77"/>
      <c r="E108" s="77" t="s">
        <v>180</v>
      </c>
      <c r="F108" s="80"/>
      <c r="G108" s="77"/>
      <c r="H108" s="77"/>
      <c r="I108" s="73"/>
      <c r="J108" s="73"/>
      <c r="K108" s="73"/>
      <c r="L108" s="30"/>
      <c r="M108" s="27"/>
      <c r="N108" s="27"/>
      <c r="O108" s="27"/>
      <c r="P108" s="27"/>
      <c r="Q108" s="27"/>
      <c r="R108" s="27"/>
      <c r="S108" s="27"/>
      <c r="T108" s="27"/>
      <c r="U108" s="30"/>
      <c r="V108" s="40"/>
      <c r="W108" s="40"/>
      <c r="X108" s="30"/>
      <c r="Y108" s="18"/>
      <c r="Z108" s="5"/>
      <c r="AA108" s="41"/>
      <c r="AB108" s="5"/>
      <c r="AC108" s="5"/>
      <c r="AD108" s="5"/>
      <c r="AE108" s="5"/>
      <c r="AF108" s="5"/>
      <c r="AG108" s="5"/>
      <c r="AH108" s="5"/>
      <c r="AI108" s="5"/>
    </row>
    <row r="109" spans="1:35" s="28" customFormat="1" ht="12.75" x14ac:dyDescent="0.2">
      <c r="A109" s="73"/>
      <c r="B109" s="76"/>
      <c r="C109" s="77"/>
      <c r="D109" s="73"/>
      <c r="E109" s="76"/>
      <c r="F109" s="111"/>
      <c r="G109" s="110"/>
      <c r="H109" s="77"/>
      <c r="I109" s="73"/>
      <c r="J109" s="73"/>
      <c r="K109" s="73"/>
      <c r="L109" s="30"/>
      <c r="M109" s="27"/>
      <c r="N109" s="27"/>
      <c r="O109" s="27"/>
      <c r="P109" s="27"/>
      <c r="Q109" s="27"/>
      <c r="R109" s="27"/>
      <c r="S109" s="27"/>
      <c r="T109" s="27"/>
      <c r="U109" s="30"/>
      <c r="V109" s="40"/>
      <c r="W109" s="40"/>
      <c r="X109" s="30"/>
      <c r="Y109" s="5"/>
      <c r="Z109" s="5"/>
      <c r="AA109" s="5"/>
      <c r="AB109" s="5"/>
      <c r="AC109" s="5"/>
      <c r="AD109" s="5"/>
      <c r="AE109" s="5"/>
      <c r="AF109" s="5"/>
      <c r="AG109" s="5"/>
      <c r="AH109" s="5"/>
      <c r="AI109" s="5"/>
    </row>
    <row r="110" spans="1:35" s="28" customFormat="1" ht="12.75" x14ac:dyDescent="0.2">
      <c r="A110" s="73"/>
      <c r="C110" s="95"/>
      <c r="D110" s="110"/>
      <c r="E110" s="80" t="s">
        <v>238</v>
      </c>
      <c r="F110" s="158">
        <f>AP51*2</f>
        <v>106.29757785467129</v>
      </c>
      <c r="G110" s="73" t="s">
        <v>143</v>
      </c>
      <c r="H110" s="77"/>
      <c r="I110" s="73"/>
      <c r="J110" s="73"/>
      <c r="K110" s="73"/>
      <c r="L110" s="30"/>
      <c r="M110" s="27"/>
      <c r="N110" s="27"/>
      <c r="O110" s="27"/>
      <c r="P110" s="27"/>
      <c r="Q110" s="27"/>
      <c r="R110" s="27"/>
      <c r="S110" s="27"/>
      <c r="T110" s="27"/>
      <c r="U110" s="30"/>
      <c r="V110" s="40"/>
      <c r="W110" s="40"/>
      <c r="X110" s="30"/>
    </row>
    <row r="111" spans="1:35" s="28" customFormat="1" ht="12.75" x14ac:dyDescent="0.2">
      <c r="A111" s="73"/>
      <c r="C111" s="77"/>
      <c r="D111" s="77"/>
      <c r="E111" s="80" t="s">
        <v>239</v>
      </c>
      <c r="F111" s="158">
        <f>AQ51*2</f>
        <v>-29.760586979805097</v>
      </c>
      <c r="G111" s="73" t="s">
        <v>183</v>
      </c>
      <c r="H111" s="77"/>
      <c r="I111" s="73"/>
      <c r="J111" s="73"/>
      <c r="K111" s="73"/>
      <c r="L111" s="30"/>
      <c r="M111" s="27"/>
      <c r="N111" s="27"/>
      <c r="O111" s="27"/>
      <c r="P111" s="27"/>
      <c r="Q111" s="27"/>
      <c r="R111" s="27"/>
      <c r="S111" s="27"/>
      <c r="T111" s="27"/>
      <c r="U111" s="30"/>
      <c r="V111" s="40"/>
      <c r="W111" s="40"/>
      <c r="X111" s="30"/>
    </row>
    <row r="112" spans="1:35" s="28" customFormat="1" ht="12.75" x14ac:dyDescent="0.2">
      <c r="A112" s="73"/>
      <c r="C112" s="77"/>
      <c r="D112" s="77"/>
      <c r="E112" s="80"/>
      <c r="F112" s="158"/>
      <c r="G112" s="73"/>
      <c r="H112" s="77"/>
      <c r="I112" s="73"/>
      <c r="J112" s="73"/>
      <c r="K112" s="73"/>
      <c r="L112" s="30"/>
      <c r="M112" s="27"/>
      <c r="N112" s="27"/>
      <c r="O112" s="27"/>
      <c r="P112" s="27"/>
      <c r="Q112" s="27"/>
      <c r="R112" s="27"/>
      <c r="S112" s="27"/>
      <c r="T112" s="27"/>
      <c r="U112" s="30"/>
      <c r="V112" s="40"/>
      <c r="W112" s="40"/>
      <c r="X112" s="30"/>
    </row>
    <row r="113" spans="1:24" s="28" customFormat="1" ht="12.75" x14ac:dyDescent="0.2">
      <c r="A113" s="73"/>
      <c r="C113" s="77"/>
      <c r="D113" s="77"/>
      <c r="E113" s="80"/>
      <c r="F113" s="158"/>
      <c r="G113" s="73"/>
      <c r="H113" s="77"/>
      <c r="I113" s="73"/>
      <c r="J113" s="73"/>
      <c r="K113" s="73"/>
      <c r="L113" s="30"/>
      <c r="M113" s="27"/>
      <c r="N113" s="27"/>
      <c r="O113" s="27"/>
      <c r="P113" s="27"/>
      <c r="Q113" s="27"/>
      <c r="R113" s="27"/>
      <c r="S113" s="27"/>
      <c r="T113" s="27"/>
      <c r="U113" s="30"/>
      <c r="V113" s="40"/>
      <c r="W113" s="40"/>
      <c r="X113" s="30"/>
    </row>
    <row r="114" spans="1:24" s="28" customFormat="1" ht="12.75" x14ac:dyDescent="0.2">
      <c r="B114" s="28" t="s">
        <v>253</v>
      </c>
      <c r="L114" s="30"/>
      <c r="M114" s="27"/>
      <c r="N114" s="27"/>
      <c r="O114" s="27"/>
      <c r="P114" s="27"/>
      <c r="Q114" s="27"/>
      <c r="R114" s="27"/>
      <c r="S114" s="27"/>
      <c r="T114" s="27"/>
      <c r="U114" s="30"/>
      <c r="V114" s="56"/>
      <c r="W114" s="40"/>
      <c r="X114" s="30"/>
    </row>
    <row r="115" spans="1:24" s="28" customFormat="1" ht="12.75" x14ac:dyDescent="0.2">
      <c r="A115" s="5"/>
      <c r="B115" s="46"/>
      <c r="C115" s="53"/>
      <c r="D115" s="43"/>
      <c r="E115" s="49"/>
      <c r="F115" s="40"/>
      <c r="G115" s="5"/>
      <c r="H115" s="49"/>
      <c r="I115" s="40"/>
      <c r="J115" s="47"/>
      <c r="K115" s="47"/>
      <c r="L115" s="30"/>
      <c r="M115" s="27"/>
      <c r="N115" s="27"/>
      <c r="O115" s="27"/>
      <c r="P115" s="27"/>
      <c r="Q115" s="27"/>
      <c r="R115" s="27"/>
      <c r="S115" s="27"/>
      <c r="T115" s="27"/>
      <c r="U115" s="30"/>
      <c r="V115" s="5"/>
      <c r="W115" s="5"/>
      <c r="X115" s="30"/>
    </row>
    <row r="116" spans="1:24" s="28" customFormat="1" ht="12.75" x14ac:dyDescent="0.2">
      <c r="A116" s="58"/>
      <c r="B116" s="59"/>
      <c r="C116" s="60"/>
      <c r="D116" s="58"/>
      <c r="E116" s="58"/>
      <c r="F116" s="58"/>
      <c r="G116" s="60"/>
      <c r="H116" s="58"/>
      <c r="I116" s="58"/>
      <c r="J116" s="58"/>
      <c r="K116" s="58"/>
      <c r="L116" s="30"/>
      <c r="M116" s="27"/>
      <c r="N116" s="27"/>
      <c r="O116" s="27"/>
      <c r="P116" s="27"/>
      <c r="Q116" s="27"/>
      <c r="R116" s="27"/>
      <c r="S116" s="27"/>
      <c r="T116" s="27"/>
      <c r="U116" s="30"/>
      <c r="V116" s="30"/>
      <c r="W116" s="30"/>
      <c r="X116" s="30"/>
    </row>
    <row r="117" spans="1:24" s="28" customFormat="1" ht="12.75" x14ac:dyDescent="0.2">
      <c r="A117" s="58"/>
      <c r="B117" s="59"/>
      <c r="C117" s="60"/>
      <c r="D117" s="58"/>
      <c r="E117" s="58"/>
      <c r="F117" s="58"/>
      <c r="G117" s="60"/>
      <c r="H117" s="58"/>
      <c r="I117" s="58"/>
      <c r="J117" s="58"/>
      <c r="K117" s="58"/>
      <c r="L117" s="30"/>
      <c r="M117" s="27"/>
      <c r="N117" s="27"/>
      <c r="O117" s="27"/>
      <c r="P117" s="27"/>
      <c r="Q117" s="27"/>
      <c r="R117" s="27"/>
      <c r="S117" s="27"/>
      <c r="T117" s="27"/>
      <c r="U117" s="30"/>
      <c r="V117" s="30"/>
      <c r="W117" s="30"/>
      <c r="X117" s="30"/>
    </row>
    <row r="118" spans="1:24" s="28" customFormat="1" ht="12.75" x14ac:dyDescent="0.2">
      <c r="A118" s="58"/>
      <c r="B118" s="59"/>
      <c r="C118" s="60"/>
      <c r="D118" s="58"/>
      <c r="E118" s="58"/>
      <c r="F118" s="58"/>
      <c r="G118" s="60"/>
      <c r="H118" s="58"/>
      <c r="I118" s="58"/>
      <c r="J118" s="58"/>
      <c r="K118" s="58"/>
      <c r="L118" s="30"/>
      <c r="M118" s="27"/>
      <c r="N118" s="27"/>
      <c r="O118" s="27"/>
      <c r="P118" s="27"/>
      <c r="Q118" s="27"/>
      <c r="R118" s="27"/>
      <c r="S118" s="27"/>
      <c r="T118" s="27"/>
      <c r="U118" s="30"/>
      <c r="V118" s="30"/>
      <c r="W118" s="30"/>
      <c r="X118" s="30"/>
    </row>
    <row r="119" spans="1:24" s="28" customFormat="1" ht="12.75" x14ac:dyDescent="0.2">
      <c r="A119" s="58"/>
      <c r="B119" s="59"/>
      <c r="C119" s="60"/>
      <c r="D119" s="58"/>
      <c r="E119" s="58"/>
      <c r="F119" s="58"/>
      <c r="G119" s="60"/>
      <c r="H119" s="58"/>
      <c r="I119" s="58"/>
      <c r="J119" s="58"/>
      <c r="K119" s="58"/>
      <c r="L119" s="30"/>
      <c r="M119" s="27"/>
      <c r="N119" s="27"/>
      <c r="O119" s="27"/>
      <c r="P119" s="27"/>
      <c r="Q119" s="27"/>
      <c r="R119" s="27"/>
      <c r="S119" s="27"/>
      <c r="T119" s="27"/>
      <c r="U119" s="30"/>
      <c r="V119" s="30"/>
      <c r="W119" s="30"/>
      <c r="X119" s="30"/>
    </row>
    <row r="120" spans="1:24" s="28" customFormat="1" ht="12.75" x14ac:dyDescent="0.2">
      <c r="A120" s="58"/>
      <c r="B120" s="59"/>
      <c r="C120" s="60"/>
      <c r="D120" s="58"/>
      <c r="E120" s="58"/>
      <c r="F120" s="58"/>
      <c r="G120" s="60"/>
      <c r="H120" s="58"/>
      <c r="I120" s="58"/>
      <c r="J120" s="58"/>
      <c r="K120" s="58"/>
      <c r="L120" s="30"/>
      <c r="M120" s="27"/>
      <c r="N120" s="27"/>
      <c r="O120" s="27"/>
      <c r="P120" s="27"/>
      <c r="Q120" s="27"/>
      <c r="R120" s="27"/>
      <c r="S120" s="27"/>
      <c r="T120" s="27"/>
      <c r="U120" s="30"/>
      <c r="V120" s="30"/>
      <c r="W120" s="30"/>
      <c r="X120" s="30"/>
    </row>
    <row r="121" spans="1:24" s="28" customFormat="1" ht="12.75" x14ac:dyDescent="0.2">
      <c r="A121" s="58"/>
      <c r="B121" s="59"/>
      <c r="C121" s="60"/>
      <c r="D121" s="58"/>
      <c r="E121" s="58"/>
      <c r="F121" s="58"/>
      <c r="G121" s="60"/>
      <c r="H121" s="58"/>
      <c r="I121" s="58"/>
      <c r="J121" s="58"/>
      <c r="K121" s="58"/>
      <c r="L121" s="30"/>
      <c r="M121" s="27"/>
      <c r="N121" s="27"/>
      <c r="O121" s="27"/>
      <c r="P121" s="27"/>
      <c r="Q121" s="27"/>
      <c r="R121" s="27"/>
      <c r="S121" s="27"/>
      <c r="T121" s="27"/>
      <c r="U121" s="30"/>
      <c r="V121" s="30"/>
      <c r="W121" s="30"/>
      <c r="X121" s="30"/>
    </row>
    <row r="122" spans="1:24" s="28" customFormat="1" ht="12.75" x14ac:dyDescent="0.2">
      <c r="A122" s="145" t="s">
        <v>118</v>
      </c>
      <c r="B122" s="146"/>
      <c r="C122" s="146"/>
      <c r="D122" s="146"/>
      <c r="E122" s="146"/>
      <c r="F122" s="146"/>
      <c r="G122" s="147"/>
      <c r="H122" s="147"/>
      <c r="I122" s="147"/>
      <c r="J122" s="147"/>
      <c r="K122" s="148"/>
      <c r="L122" s="30"/>
      <c r="M122" s="27"/>
      <c r="N122" s="27"/>
      <c r="O122" s="27"/>
      <c r="P122" s="27"/>
      <c r="Q122" s="27"/>
      <c r="R122" s="27"/>
      <c r="S122" s="27"/>
      <c r="T122" s="27"/>
      <c r="U122" s="30"/>
      <c r="V122" s="30"/>
      <c r="W122" s="30"/>
      <c r="X122" s="30"/>
    </row>
    <row r="123" spans="1:24" s="28" customFormat="1" ht="12.75" x14ac:dyDescent="0.2">
      <c r="A123" s="149"/>
      <c r="B123" s="149"/>
      <c r="C123" s="149"/>
      <c r="D123" s="150"/>
      <c r="E123" s="150"/>
      <c r="F123" s="151" t="s">
        <v>119</v>
      </c>
      <c r="G123" s="152" t="s">
        <v>120</v>
      </c>
      <c r="H123" s="153"/>
      <c r="I123" s="154"/>
      <c r="J123" s="154"/>
      <c r="K123" s="155"/>
      <c r="L123" s="30"/>
      <c r="M123" s="27"/>
      <c r="N123" s="27"/>
      <c r="O123" s="27"/>
      <c r="P123" s="27"/>
      <c r="Q123" s="27"/>
      <c r="R123" s="27"/>
      <c r="S123" s="27"/>
      <c r="T123" s="27"/>
      <c r="U123" s="30"/>
      <c r="V123" s="30"/>
      <c r="W123" s="30"/>
      <c r="X123" s="30"/>
    </row>
    <row r="124" spans="1:24" s="26" customFormat="1" ht="12.75" x14ac:dyDescent="0.2">
      <c r="M124" s="27"/>
      <c r="N124" s="27"/>
      <c r="O124" s="27"/>
      <c r="P124" s="27"/>
      <c r="Q124" s="27"/>
      <c r="R124" s="27"/>
      <c r="S124" s="27"/>
      <c r="T124" s="27"/>
    </row>
    <row r="125" spans="1:24" s="26" customFormat="1" ht="12.75" x14ac:dyDescent="0.2">
      <c r="M125" s="27"/>
      <c r="N125" s="27"/>
      <c r="O125" s="27"/>
      <c r="P125" s="27"/>
      <c r="Q125" s="27"/>
      <c r="R125" s="27"/>
      <c r="S125" s="27"/>
      <c r="T125" s="27"/>
    </row>
    <row r="126" spans="1:24" s="26" customFormat="1" ht="12.75" x14ac:dyDescent="0.2">
      <c r="M126" s="27"/>
      <c r="N126" s="27"/>
      <c r="O126" s="27"/>
      <c r="P126" s="27"/>
      <c r="Q126" s="27"/>
      <c r="R126" s="27"/>
      <c r="S126" s="27"/>
      <c r="T126" s="27"/>
    </row>
    <row r="127" spans="1:24" s="26" customFormat="1" ht="12.75" x14ac:dyDescent="0.2">
      <c r="M127" s="27"/>
      <c r="N127" s="27"/>
      <c r="O127" s="27"/>
      <c r="P127" s="27"/>
      <c r="Q127" s="27"/>
      <c r="R127" s="27"/>
      <c r="S127" s="27"/>
      <c r="T127" s="27"/>
    </row>
    <row r="128" spans="1:24"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sheetData>
  <dataValidations count="1">
    <dataValidation type="list" allowBlank="1" showInputMessage="1" showErrorMessage="1" sqref="C102">
      <formula1>"Normal,Utility,Acrobatic"</formula1>
    </dataValidation>
  </dataValidations>
  <hyperlinks>
    <hyperlink ref="G64" r:id="rId1"/>
    <hyperlink ref="G123" r:id="rId2"/>
  </hyperlinks>
  <pageMargins left="0.47244094488188998" right="0.23622047244094499" top="0.31496062992126" bottom="0.25" header="0.43307086614173201" footer="0.25"/>
  <pageSetup orientation="portrait" r:id="rId3"/>
  <headerFooter alignWithMargins="0"/>
  <rowBreaks count="1" manualBreakCount="1">
    <brk id="64" max="10" man="1"/>
  </rowBreak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7535"/>
  <sheetViews>
    <sheetView view="pageBreakPreview" topLeftCell="A81" zoomScale="130" zoomScaleNormal="100" zoomScaleSheetLayoutView="130" workbookViewId="0">
      <selection activeCell="K110" sqref="K110"/>
    </sheetView>
  </sheetViews>
  <sheetFormatPr defaultColWidth="9.140625" defaultRowHeight="15.75" x14ac:dyDescent="0.25"/>
  <cols>
    <col min="1" max="1" width="9.140625" style="25"/>
    <col min="2" max="2" width="9.28515625" style="25" customWidth="1"/>
    <col min="3" max="3" width="9.5703125" style="25" customWidth="1"/>
    <col min="4" max="11" width="9.140625" style="25"/>
    <col min="12" max="12" width="5.42578125" style="26" customWidth="1"/>
    <col min="13" max="20" width="4.140625" style="27" customWidth="1"/>
    <col min="21" max="28" width="9.140625" style="25"/>
    <col min="29" max="42" width="9.28515625" style="25" customWidth="1"/>
    <col min="43" max="43" width="9.7109375" style="25" customWidth="1"/>
    <col min="44" max="64" width="9.28515625" style="25" customWidth="1"/>
    <col min="65" max="65" width="9.7109375" style="25" customWidth="1"/>
    <col min="66" max="77" width="9.28515625" style="25" customWidth="1"/>
    <col min="78" max="16384" width="9.140625" style="25"/>
  </cols>
  <sheetData>
    <row r="1" spans="1:101" s="5" customFormat="1" ht="12.75" x14ac:dyDescent="0.2">
      <c r="A1" s="1"/>
      <c r="B1" s="2" t="s">
        <v>1</v>
      </c>
      <c r="C1" s="3" t="str">
        <f>Analysis!C1</f>
        <v>R. Abbott</v>
      </c>
      <c r="D1" s="1"/>
      <c r="E1" s="1"/>
      <c r="F1" s="2" t="s">
        <v>11</v>
      </c>
      <c r="G1" s="3">
        <f>Analysis!G1</f>
        <v>17</v>
      </c>
      <c r="H1" s="1"/>
      <c r="I1" s="1"/>
      <c r="J1" s="1"/>
      <c r="K1" s="1"/>
      <c r="M1" s="6" t="s">
        <v>12</v>
      </c>
      <c r="N1" s="6" t="s">
        <v>13</v>
      </c>
      <c r="O1" s="6" t="s">
        <v>14</v>
      </c>
      <c r="P1" s="6" t="s">
        <v>14</v>
      </c>
      <c r="Q1" s="6" t="s">
        <v>14</v>
      </c>
      <c r="R1" s="6" t="s">
        <v>15</v>
      </c>
      <c r="S1" s="32" t="s">
        <v>16</v>
      </c>
      <c r="T1" s="33" t="s">
        <v>17</v>
      </c>
      <c r="W1" s="7" t="s">
        <v>18</v>
      </c>
      <c r="X1" s="8">
        <f>SUM(M:M)</f>
        <v>14</v>
      </c>
    </row>
    <row r="2" spans="1:101" s="5" customFormat="1" ht="12.75" x14ac:dyDescent="0.2">
      <c r="A2" s="1"/>
      <c r="B2" s="2" t="s">
        <v>2</v>
      </c>
      <c r="C2" s="3" t="s">
        <v>10</v>
      </c>
      <c r="D2" s="1"/>
      <c r="E2" s="1"/>
      <c r="F2" s="2" t="s">
        <v>5</v>
      </c>
      <c r="G2" s="3" t="str">
        <f>Analysis!G2</f>
        <v>AA-SM-515-000</v>
      </c>
      <c r="H2" s="1"/>
      <c r="I2" s="1"/>
      <c r="J2" s="1"/>
      <c r="K2" s="1"/>
      <c r="M2" s="9" t="s">
        <v>19</v>
      </c>
      <c r="N2" s="9" t="s">
        <v>19</v>
      </c>
      <c r="O2" s="9" t="s">
        <v>13</v>
      </c>
      <c r="P2" s="9" t="s">
        <v>13</v>
      </c>
      <c r="Q2" s="9" t="s">
        <v>13</v>
      </c>
      <c r="R2" s="9" t="s">
        <v>19</v>
      </c>
      <c r="S2" s="34" t="s">
        <v>19</v>
      </c>
      <c r="T2" s="35"/>
      <c r="W2" s="7" t="s">
        <v>20</v>
      </c>
      <c r="X2" s="8">
        <f>SUM(N:N)</f>
        <v>0</v>
      </c>
    </row>
    <row r="3" spans="1:101" s="5" customFormat="1" ht="12.75" x14ac:dyDescent="0.2">
      <c r="A3" s="1"/>
      <c r="B3" s="2" t="s">
        <v>3</v>
      </c>
      <c r="C3" s="3" t="str">
        <f>Analysis!C3</f>
        <v>05/03/2017</v>
      </c>
      <c r="D3" s="1"/>
      <c r="E3" s="1"/>
      <c r="F3" s="2" t="s">
        <v>4</v>
      </c>
      <c r="G3" s="3" t="str">
        <f>Analysis!G3</f>
        <v>IR</v>
      </c>
      <c r="H3" s="1"/>
      <c r="I3" s="1"/>
      <c r="J3" s="1"/>
      <c r="K3" s="1"/>
      <c r="M3" s="9"/>
      <c r="N3" s="9"/>
      <c r="O3" s="9"/>
      <c r="P3" s="9"/>
      <c r="Q3" s="9"/>
      <c r="R3" s="9"/>
      <c r="S3" s="34"/>
      <c r="T3" s="35"/>
      <c r="W3" s="7" t="s">
        <v>22</v>
      </c>
      <c r="X3" s="8">
        <f>SUM(O:O)</f>
        <v>0</v>
      </c>
    </row>
    <row r="4" spans="1:101" s="5" customFormat="1" ht="12.75" x14ac:dyDescent="0.2">
      <c r="A4" s="1"/>
      <c r="B4" s="2" t="s">
        <v>23</v>
      </c>
      <c r="C4" s="3"/>
      <c r="D4" s="1"/>
      <c r="E4" s="1"/>
      <c r="F4" s="2" t="s">
        <v>24</v>
      </c>
      <c r="G4" s="3" t="str">
        <f>Analysis!G4</f>
        <v>SIMPLIFIED PART 23 AIRCRAFT LOADS</v>
      </c>
      <c r="H4" s="1"/>
      <c r="I4" s="1"/>
      <c r="J4" s="1"/>
      <c r="K4" s="1"/>
      <c r="M4" s="9">
        <f>SUM('Tab Load'!M:M)</f>
        <v>12</v>
      </c>
      <c r="N4" s="9"/>
      <c r="O4" s="9"/>
      <c r="P4" s="9"/>
      <c r="Q4" s="11"/>
      <c r="R4" s="12"/>
      <c r="S4" s="36"/>
      <c r="T4" s="35"/>
      <c r="W4" s="7" t="s">
        <v>22</v>
      </c>
      <c r="X4" s="8">
        <f>SUM(P:P)</f>
        <v>0</v>
      </c>
    </row>
    <row r="5" spans="1:101" s="5" customFormat="1" ht="12.75" x14ac:dyDescent="0.2">
      <c r="A5" s="1"/>
      <c r="B5" s="2" t="s">
        <v>26</v>
      </c>
      <c r="C5" s="3" t="str">
        <f>Analysis!C5</f>
        <v>STANDARD SPREADSHEET METHOD</v>
      </c>
      <c r="D5" s="1"/>
      <c r="E5" s="2"/>
      <c r="F5" s="1"/>
      <c r="G5" s="1"/>
      <c r="H5" s="1"/>
      <c r="I5" s="1"/>
      <c r="J5" s="1"/>
      <c r="K5" s="1"/>
      <c r="M5" s="9"/>
      <c r="N5" s="9"/>
      <c r="O5" s="9"/>
      <c r="P5" s="9"/>
      <c r="Q5" s="11"/>
      <c r="R5" s="12"/>
      <c r="S5" s="36"/>
      <c r="T5" s="35"/>
      <c r="W5" s="7" t="s">
        <v>22</v>
      </c>
      <c r="X5" s="8">
        <f>SUM(Q:Q)</f>
        <v>0</v>
      </c>
    </row>
    <row r="6" spans="1:101"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101" s="5" customFormat="1" ht="12.75" x14ac:dyDescent="0.2">
      <c r="A7" s="1"/>
      <c r="B7" s="1"/>
      <c r="C7" s="1"/>
      <c r="D7" s="1"/>
      <c r="E7" s="1"/>
      <c r="F7" s="1"/>
      <c r="G7" s="1"/>
      <c r="H7" s="1"/>
      <c r="I7" s="1"/>
      <c r="J7" s="1"/>
      <c r="K7" s="1"/>
      <c r="M7" s="9"/>
      <c r="N7" s="9"/>
      <c r="O7" s="9"/>
      <c r="P7" s="9"/>
      <c r="Q7" s="11"/>
      <c r="R7" s="12"/>
      <c r="S7" s="36"/>
      <c r="T7" s="35"/>
      <c r="W7" s="7" t="s">
        <v>28</v>
      </c>
      <c r="X7" s="8">
        <f>SUM(S:S)</f>
        <v>0</v>
      </c>
    </row>
    <row r="8" spans="1:101" s="5" customFormat="1" ht="12.75" x14ac:dyDescent="0.2">
      <c r="A8" s="14"/>
      <c r="E8" s="7" t="s">
        <v>1</v>
      </c>
      <c r="F8" s="8" t="str">
        <f>$C$1</f>
        <v>R. Abbott</v>
      </c>
      <c r="H8" s="15"/>
      <c r="I8" s="7" t="s">
        <v>8</v>
      </c>
      <c r="J8" s="16" t="str">
        <f>$G$2</f>
        <v>AA-SM-515-000</v>
      </c>
      <c r="K8" s="17"/>
      <c r="L8" s="18"/>
      <c r="M8" s="9"/>
      <c r="N8" s="9"/>
      <c r="O8" s="9"/>
      <c r="P8" s="9"/>
      <c r="Q8" s="11"/>
      <c r="R8" s="12"/>
      <c r="S8" s="36"/>
      <c r="T8" s="35"/>
    </row>
    <row r="9" spans="1:101" s="5" customFormat="1" ht="12.75" x14ac:dyDescent="0.2">
      <c r="E9" s="7" t="s">
        <v>2</v>
      </c>
      <c r="F9" s="15" t="str">
        <f>$C$2</f>
        <v xml:space="preserve"> </v>
      </c>
      <c r="H9" s="15"/>
      <c r="I9" s="7" t="s">
        <v>9</v>
      </c>
      <c r="J9" s="17" t="str">
        <f>$G$3</f>
        <v>IR</v>
      </c>
      <c r="K9" s="17"/>
      <c r="L9" s="18"/>
      <c r="M9" s="9">
        <v>1</v>
      </c>
      <c r="N9" s="9"/>
      <c r="O9" s="9"/>
      <c r="P9" s="9"/>
      <c r="Q9" s="11"/>
      <c r="R9" s="12"/>
      <c r="S9" s="36"/>
      <c r="T9" s="35"/>
    </row>
    <row r="10" spans="1:101" s="5" customFormat="1" ht="12.75" x14ac:dyDescent="0.2">
      <c r="E10" s="7" t="s">
        <v>3</v>
      </c>
      <c r="F10" s="15" t="str">
        <f>$C$3</f>
        <v>05/03/2017</v>
      </c>
      <c r="H10" s="15"/>
      <c r="I10" s="7" t="s">
        <v>6</v>
      </c>
      <c r="J10" s="8" t="str">
        <f>L10&amp;" of "&amp;$G$1</f>
        <v>13 of 17</v>
      </c>
      <c r="K10" s="15"/>
      <c r="L10" s="18">
        <f>SUM($M$1:M9)</f>
        <v>13</v>
      </c>
      <c r="M10" s="9"/>
      <c r="N10" s="9"/>
      <c r="O10" s="9"/>
      <c r="P10" s="9"/>
      <c r="Q10" s="11"/>
      <c r="R10" s="12"/>
      <c r="S10" s="36"/>
      <c r="T10" s="35"/>
      <c r="W10" s="18"/>
      <c r="X10" s="18"/>
      <c r="Y10" s="18"/>
      <c r="Z10" s="18"/>
      <c r="AA10" s="18"/>
      <c r="AB10" s="18"/>
    </row>
    <row r="11" spans="1:101" s="5" customFormat="1" ht="12.75" x14ac:dyDescent="0.2">
      <c r="A11" s="26"/>
      <c r="B11" s="26"/>
      <c r="C11" s="26"/>
      <c r="D11" s="26"/>
      <c r="E11" s="7" t="s">
        <v>29</v>
      </c>
      <c r="F11" s="15" t="str">
        <f>$C$5</f>
        <v>STANDARD SPREADSHEET METHOD</v>
      </c>
      <c r="I11" s="19"/>
      <c r="J11" s="8"/>
      <c r="M11" s="9"/>
      <c r="N11" s="9"/>
      <c r="O11" s="9"/>
      <c r="P11" s="9"/>
      <c r="Q11" s="9"/>
      <c r="R11" s="9"/>
      <c r="S11" s="34"/>
      <c r="T11" s="35"/>
      <c r="W11" s="179" t="s">
        <v>160</v>
      </c>
      <c r="X11" s="7">
        <f>F49/30</f>
        <v>0.16666666666666666</v>
      </c>
      <c r="Y11" s="47" t="s">
        <v>136</v>
      </c>
      <c r="Z11" s="18" t="s">
        <v>151</v>
      </c>
      <c r="AA11" s="18">
        <f>(K43-A43)/F49</f>
        <v>0.13332000000000002</v>
      </c>
      <c r="AB11" s="18">
        <f>(J37-A38)/F49</f>
        <v>9.9999999999999985E-3</v>
      </c>
      <c r="AC11" s="5">
        <f>(K48-A48)/F49</f>
        <v>0.4</v>
      </c>
      <c r="CJ11" s="5" t="s">
        <v>172</v>
      </c>
      <c r="CM11" s="28" t="s">
        <v>167</v>
      </c>
      <c r="CN11" s="28"/>
      <c r="CO11" s="28"/>
      <c r="CT11" s="5" t="s">
        <v>173</v>
      </c>
    </row>
    <row r="12" spans="1:101" s="28" customFormat="1" x14ac:dyDescent="0.25">
      <c r="A12" s="70"/>
      <c r="B12" s="21" t="str">
        <f>$G$4</f>
        <v>SIMPLIFIED PART 23 AIRCRAFT LOADS</v>
      </c>
      <c r="C12" s="71"/>
      <c r="D12" s="71"/>
      <c r="E12" s="72"/>
      <c r="F12" s="71"/>
      <c r="G12" s="71"/>
      <c r="H12" s="71"/>
      <c r="I12" s="71"/>
      <c r="J12" s="71"/>
      <c r="K12" s="71"/>
      <c r="L12" s="30"/>
      <c r="M12" s="37"/>
      <c r="N12" s="38"/>
      <c r="O12" s="38"/>
      <c r="P12" s="38"/>
      <c r="Q12" s="38"/>
      <c r="R12" s="37"/>
      <c r="S12" s="37"/>
      <c r="T12" s="39"/>
      <c r="W12" s="59"/>
      <c r="X12" s="135">
        <f>X11*12</f>
        <v>2</v>
      </c>
      <c r="Y12" s="187" t="s">
        <v>139</v>
      </c>
      <c r="Z12" s="59" t="s">
        <v>152</v>
      </c>
      <c r="AA12" s="177">
        <f>A43</f>
        <v>1</v>
      </c>
      <c r="AB12" s="177">
        <f>A38</f>
        <v>0.1</v>
      </c>
      <c r="AC12" s="176">
        <f>A48</f>
        <v>3</v>
      </c>
      <c r="CM12" s="28" t="s">
        <v>171</v>
      </c>
      <c r="CN12" s="185">
        <f>C55/CL51</f>
        <v>1.8285675101145169</v>
      </c>
      <c r="CT12" s="176">
        <f>C32</f>
        <v>47.302422145328727</v>
      </c>
    </row>
    <row r="13" spans="1:101" s="26" customFormat="1" ht="12.75" x14ac:dyDescent="0.2">
      <c r="A13" s="73"/>
      <c r="B13" s="73" t="s">
        <v>47</v>
      </c>
      <c r="C13" s="73"/>
      <c r="D13" s="73"/>
      <c r="E13" s="73"/>
      <c r="F13" s="73"/>
      <c r="G13" s="73"/>
      <c r="H13" s="73"/>
      <c r="I13" s="73"/>
      <c r="J13" s="73"/>
      <c r="K13" s="73"/>
      <c r="L13" s="29"/>
      <c r="M13" s="27"/>
      <c r="N13" s="27"/>
      <c r="O13" s="27"/>
      <c r="P13" s="27"/>
      <c r="Q13" s="27"/>
      <c r="R13" s="27"/>
      <c r="S13" s="27"/>
      <c r="T13" s="27"/>
      <c r="W13" s="29"/>
      <c r="X13" s="29"/>
      <c r="Y13" s="29"/>
      <c r="Z13" s="29"/>
      <c r="AA13" s="29"/>
      <c r="AB13" s="29"/>
    </row>
    <row r="14" spans="1:101" s="75" customFormat="1" ht="12.75" x14ac:dyDescent="0.2">
      <c r="A14" s="73"/>
      <c r="B14" s="114" t="s">
        <v>210</v>
      </c>
      <c r="C14" s="73"/>
      <c r="D14" s="76"/>
      <c r="E14" s="73"/>
      <c r="F14" s="73"/>
      <c r="G14" s="77"/>
      <c r="H14" s="73"/>
      <c r="I14" s="73"/>
      <c r="J14" s="73"/>
      <c r="K14" s="73"/>
      <c r="M14" s="156"/>
      <c r="N14" s="156"/>
      <c r="O14" s="156"/>
      <c r="P14" s="156"/>
      <c r="Q14" s="156"/>
      <c r="R14" s="156"/>
      <c r="S14" s="156"/>
      <c r="T14" s="156"/>
      <c r="W14" s="159"/>
      <c r="X14" s="159"/>
      <c r="Y14" s="159"/>
      <c r="Z14" s="159"/>
      <c r="AA14" s="159"/>
      <c r="AB14" s="159"/>
      <c r="CH14" s="159"/>
      <c r="CI14" s="159"/>
    </row>
    <row r="15" spans="1:101" s="75" customFormat="1" ht="12.75" x14ac:dyDescent="0.2">
      <c r="A15" s="73"/>
      <c r="C15" s="73"/>
      <c r="D15" s="76"/>
      <c r="E15" s="73"/>
      <c r="F15" s="73"/>
      <c r="G15" s="73"/>
      <c r="H15" s="73"/>
      <c r="I15" s="73"/>
      <c r="J15" s="73"/>
      <c r="K15" s="73"/>
      <c r="M15" s="156"/>
      <c r="N15" s="156"/>
      <c r="O15" s="156"/>
      <c r="P15" s="156"/>
      <c r="Q15" s="156"/>
      <c r="R15" s="156"/>
      <c r="S15" s="156"/>
      <c r="T15" s="156"/>
      <c r="V15" s="88"/>
      <c r="Y15" s="159"/>
      <c r="Z15" s="83"/>
      <c r="AA15" s="83" t="s">
        <v>145</v>
      </c>
      <c r="AB15" s="83" t="s">
        <v>153</v>
      </c>
      <c r="AC15" s="159" t="s">
        <v>198</v>
      </c>
      <c r="AO15" s="190">
        <v>0.1</v>
      </c>
      <c r="AP15" s="159"/>
      <c r="CH15" s="83" t="s">
        <v>157</v>
      </c>
      <c r="CI15" s="83" t="s">
        <v>157</v>
      </c>
      <c r="CJ15" s="159" t="s">
        <v>165</v>
      </c>
      <c r="CK15" s="159" t="s">
        <v>165</v>
      </c>
      <c r="CL15" s="83" t="s">
        <v>169</v>
      </c>
      <c r="CM15" s="159" t="s">
        <v>165</v>
      </c>
      <c r="CN15" s="159" t="s">
        <v>165</v>
      </c>
      <c r="CO15" s="83" t="s">
        <v>169</v>
      </c>
      <c r="CP15" s="159" t="s">
        <v>168</v>
      </c>
      <c r="CQ15" s="159" t="s">
        <v>168</v>
      </c>
      <c r="CR15" s="83" t="s">
        <v>169</v>
      </c>
      <c r="CS15" s="159" t="s">
        <v>170</v>
      </c>
      <c r="CT15" s="83" t="s">
        <v>169</v>
      </c>
      <c r="CU15" s="83" t="s">
        <v>169</v>
      </c>
      <c r="CV15" s="83" t="s">
        <v>169</v>
      </c>
      <c r="CW15" s="83" t="s">
        <v>169</v>
      </c>
    </row>
    <row r="16" spans="1:101" s="77" customFormat="1" ht="13.5" customHeight="1" x14ac:dyDescent="0.2">
      <c r="B16" s="75" t="s">
        <v>187</v>
      </c>
      <c r="L16" s="157"/>
      <c r="M16" s="156"/>
      <c r="N16" s="156"/>
      <c r="O16" s="156"/>
      <c r="P16" s="156"/>
      <c r="Q16" s="156"/>
      <c r="R16" s="156"/>
      <c r="S16" s="156"/>
      <c r="T16" s="156"/>
      <c r="U16" s="157"/>
      <c r="V16" s="88"/>
      <c r="W16" s="18"/>
      <c r="Y16" s="18"/>
      <c r="Z16" s="83" t="s">
        <v>148</v>
      </c>
      <c r="AA16" s="83" t="s">
        <v>150</v>
      </c>
      <c r="AB16" s="83" t="s">
        <v>155</v>
      </c>
      <c r="AC16" s="171" t="s">
        <v>133</v>
      </c>
      <c r="AD16" s="77" t="s">
        <v>201</v>
      </c>
      <c r="AO16" s="171" t="s">
        <v>211</v>
      </c>
      <c r="AP16" s="171"/>
      <c r="BB16" s="77" t="s">
        <v>204</v>
      </c>
      <c r="CH16" s="83" t="s">
        <v>158</v>
      </c>
      <c r="CI16" s="83" t="s">
        <v>161</v>
      </c>
      <c r="CJ16" s="83" t="s">
        <v>158</v>
      </c>
      <c r="CK16" s="83" t="s">
        <v>161</v>
      </c>
      <c r="CL16" s="159" t="s">
        <v>165</v>
      </c>
      <c r="CM16" s="83" t="s">
        <v>158</v>
      </c>
      <c r="CN16" s="83" t="s">
        <v>161</v>
      </c>
      <c r="CO16" s="159" t="s">
        <v>165</v>
      </c>
      <c r="CP16" s="83" t="s">
        <v>158</v>
      </c>
      <c r="CQ16" s="83" t="s">
        <v>161</v>
      </c>
      <c r="CR16" s="83" t="s">
        <v>168</v>
      </c>
      <c r="CS16" s="171" t="s">
        <v>168</v>
      </c>
      <c r="CT16" s="159" t="s">
        <v>165</v>
      </c>
      <c r="CU16" s="83" t="s">
        <v>168</v>
      </c>
      <c r="CV16" s="159" t="s">
        <v>165</v>
      </c>
      <c r="CW16" s="83" t="s">
        <v>168</v>
      </c>
    </row>
    <row r="17" spans="1:101" s="77" customFormat="1" ht="14.25" x14ac:dyDescent="0.25">
      <c r="B17" s="80" t="s">
        <v>123</v>
      </c>
      <c r="C17" s="96">
        <f>Analysis!C44</f>
        <v>104.16455158597188</v>
      </c>
      <c r="D17" s="110" t="s">
        <v>72</v>
      </c>
      <c r="E17" s="96"/>
      <c r="F17" s="111" t="s">
        <v>125</v>
      </c>
      <c r="G17" s="96">
        <f>Analysis!C47</f>
        <v>118.05315846410147</v>
      </c>
      <c r="H17" s="110" t="s">
        <v>72</v>
      </c>
      <c r="L17" s="157"/>
      <c r="M17" s="156"/>
      <c r="N17" s="156"/>
      <c r="O17" s="156"/>
      <c r="P17" s="156"/>
      <c r="Q17" s="156"/>
      <c r="R17" s="156"/>
      <c r="S17" s="156"/>
      <c r="T17" s="156"/>
      <c r="U17" s="157"/>
      <c r="V17" s="88"/>
      <c r="W17" s="59"/>
      <c r="X17" s="59" t="s">
        <v>145</v>
      </c>
      <c r="Y17" s="59" t="s">
        <v>145</v>
      </c>
      <c r="Z17" s="83" t="s">
        <v>145</v>
      </c>
      <c r="AA17" s="171" t="s">
        <v>154</v>
      </c>
      <c r="AB17" s="171" t="s">
        <v>154</v>
      </c>
      <c r="AC17" s="171"/>
      <c r="AD17" s="189" t="s">
        <v>212</v>
      </c>
      <c r="AO17" s="171" t="s">
        <v>133</v>
      </c>
      <c r="AP17" s="171"/>
      <c r="CH17" s="171" t="s">
        <v>153</v>
      </c>
      <c r="CI17" s="171" t="s">
        <v>153</v>
      </c>
      <c r="CJ17" s="83" t="s">
        <v>153</v>
      </c>
      <c r="CK17" s="83" t="s">
        <v>153</v>
      </c>
      <c r="CL17" s="171"/>
      <c r="CM17" s="83" t="s">
        <v>153</v>
      </c>
      <c r="CN17" s="83" t="s">
        <v>153</v>
      </c>
      <c r="CO17" s="171"/>
      <c r="CP17" s="83" t="s">
        <v>153</v>
      </c>
      <c r="CQ17" s="83" t="s">
        <v>153</v>
      </c>
      <c r="CR17" s="83"/>
      <c r="CS17" s="171"/>
      <c r="CV17" s="171" t="s">
        <v>174</v>
      </c>
      <c r="CW17" s="171" t="s">
        <v>174</v>
      </c>
    </row>
    <row r="18" spans="1:101" s="77" customFormat="1" ht="14.25" x14ac:dyDescent="0.25">
      <c r="B18" s="80" t="s">
        <v>124</v>
      </c>
      <c r="C18" s="192">
        <f>Analysis!F43</f>
        <v>120</v>
      </c>
      <c r="D18" s="110" t="s">
        <v>72</v>
      </c>
      <c r="E18" s="96"/>
      <c r="F18" s="111" t="s">
        <v>126</v>
      </c>
      <c r="G18" s="192">
        <f>Analysis!F46</f>
        <v>160</v>
      </c>
      <c r="H18" s="110" t="s">
        <v>72</v>
      </c>
      <c r="L18" s="157"/>
      <c r="M18" s="156"/>
      <c r="N18" s="156"/>
      <c r="O18" s="156"/>
      <c r="P18" s="156"/>
      <c r="Q18" s="156"/>
      <c r="R18" s="156"/>
      <c r="S18" s="156"/>
      <c r="T18" s="156"/>
      <c r="U18" s="157"/>
      <c r="V18" s="88"/>
      <c r="W18" s="29" t="s">
        <v>145</v>
      </c>
      <c r="X18" s="29" t="s">
        <v>146</v>
      </c>
      <c r="Y18" s="29" t="s">
        <v>147</v>
      </c>
      <c r="Z18" s="83" t="s">
        <v>149</v>
      </c>
      <c r="AA18" s="159" t="s">
        <v>149</v>
      </c>
      <c r="AB18" s="159" t="s">
        <v>149</v>
      </c>
      <c r="AC18" s="171"/>
      <c r="AD18" s="171">
        <v>0.95</v>
      </c>
      <c r="AE18" s="171">
        <f>AD18-0.1</f>
        <v>0.85</v>
      </c>
      <c r="AF18" s="171">
        <f t="shared" ref="AF18:AM18" si="0">AE18-0.1</f>
        <v>0.75</v>
      </c>
      <c r="AG18" s="171">
        <f t="shared" si="0"/>
        <v>0.65</v>
      </c>
      <c r="AH18" s="171">
        <f t="shared" si="0"/>
        <v>0.55000000000000004</v>
      </c>
      <c r="AI18" s="171">
        <f t="shared" si="0"/>
        <v>0.45000000000000007</v>
      </c>
      <c r="AJ18" s="171">
        <f t="shared" si="0"/>
        <v>0.35000000000000009</v>
      </c>
      <c r="AK18" s="171">
        <f t="shared" si="0"/>
        <v>0.25000000000000011</v>
      </c>
      <c r="AL18" s="171">
        <f t="shared" si="0"/>
        <v>0.15000000000000011</v>
      </c>
      <c r="AM18" s="171">
        <f t="shared" si="0"/>
        <v>5.00000000000001E-2</v>
      </c>
      <c r="AN18" s="171">
        <v>0</v>
      </c>
      <c r="AO18" s="171" t="s">
        <v>203</v>
      </c>
      <c r="AP18" s="171"/>
      <c r="AQ18" s="171">
        <v>0.95</v>
      </c>
      <c r="AR18" s="171">
        <f>AQ18-0.1</f>
        <v>0.85</v>
      </c>
      <c r="AS18" s="171">
        <f t="shared" ref="AS18:AZ18" si="1">AR18-0.1</f>
        <v>0.75</v>
      </c>
      <c r="AT18" s="171">
        <f t="shared" si="1"/>
        <v>0.65</v>
      </c>
      <c r="AU18" s="171">
        <f t="shared" si="1"/>
        <v>0.55000000000000004</v>
      </c>
      <c r="AV18" s="171">
        <f t="shared" si="1"/>
        <v>0.45000000000000007</v>
      </c>
      <c r="AW18" s="171">
        <f t="shared" si="1"/>
        <v>0.35000000000000009</v>
      </c>
      <c r="AX18" s="171">
        <f t="shared" si="1"/>
        <v>0.25000000000000011</v>
      </c>
      <c r="AY18" s="171">
        <f t="shared" si="1"/>
        <v>0.15000000000000011</v>
      </c>
      <c r="AZ18" s="171">
        <f t="shared" si="1"/>
        <v>5.00000000000001E-2</v>
      </c>
      <c r="BA18" s="171">
        <v>0</v>
      </c>
      <c r="BB18" s="171">
        <v>0.95</v>
      </c>
      <c r="BC18" s="171">
        <f>BB18-0.1</f>
        <v>0.85</v>
      </c>
      <c r="BD18" s="171">
        <f t="shared" ref="BD18:BK18" si="2">BC18-0.1</f>
        <v>0.75</v>
      </c>
      <c r="BE18" s="171">
        <f t="shared" si="2"/>
        <v>0.65</v>
      </c>
      <c r="BF18" s="171">
        <f t="shared" si="2"/>
        <v>0.55000000000000004</v>
      </c>
      <c r="BG18" s="171">
        <f t="shared" si="2"/>
        <v>0.45000000000000007</v>
      </c>
      <c r="BH18" s="171">
        <f t="shared" si="2"/>
        <v>0.35000000000000009</v>
      </c>
      <c r="BI18" s="171">
        <f t="shared" si="2"/>
        <v>0.25000000000000011</v>
      </c>
      <c r="BJ18" s="171">
        <f t="shared" si="2"/>
        <v>0.15000000000000011</v>
      </c>
      <c r="BK18" s="171">
        <f t="shared" si="2"/>
        <v>5.00000000000001E-2</v>
      </c>
      <c r="BL18" s="171">
        <v>0</v>
      </c>
      <c r="CH18" s="83" t="s">
        <v>159</v>
      </c>
      <c r="CI18" s="83" t="s">
        <v>159</v>
      </c>
      <c r="CJ18" s="83" t="s">
        <v>159</v>
      </c>
      <c r="CK18" s="83" t="s">
        <v>159</v>
      </c>
      <c r="CL18" s="171"/>
      <c r="CM18" s="83" t="s">
        <v>159</v>
      </c>
      <c r="CN18" s="83" t="s">
        <v>159</v>
      </c>
      <c r="CO18" s="171"/>
      <c r="CP18" s="83" t="s">
        <v>159</v>
      </c>
      <c r="CQ18" s="83" t="s">
        <v>159</v>
      </c>
      <c r="CR18" s="83"/>
      <c r="CS18" s="171"/>
      <c r="CV18" s="171" t="s">
        <v>175</v>
      </c>
      <c r="CW18" s="171" t="s">
        <v>175</v>
      </c>
    </row>
    <row r="19" spans="1:101" s="77" customFormat="1" ht="12.75" x14ac:dyDescent="0.2">
      <c r="A19" s="73"/>
      <c r="B19" s="73"/>
      <c r="C19" s="73"/>
      <c r="D19" s="76"/>
      <c r="E19" s="73"/>
      <c r="F19" s="73"/>
      <c r="G19" s="73"/>
      <c r="H19" s="73"/>
      <c r="I19" s="73"/>
      <c r="J19" s="73"/>
      <c r="K19" s="73"/>
      <c r="L19" s="157"/>
      <c r="M19" s="156"/>
      <c r="N19" s="156"/>
      <c r="O19" s="156"/>
      <c r="P19" s="156"/>
      <c r="Q19" s="156"/>
      <c r="R19" s="156"/>
      <c r="S19" s="156"/>
      <c r="T19" s="156"/>
      <c r="U19" s="157"/>
      <c r="V19" s="88"/>
      <c r="X19" s="171" t="s">
        <v>156</v>
      </c>
      <c r="Y19" s="171" t="s">
        <v>156</v>
      </c>
      <c r="Z19" s="171" t="s">
        <v>156</v>
      </c>
      <c r="AA19" s="171" t="s">
        <v>156</v>
      </c>
      <c r="AB19" s="171" t="s">
        <v>156</v>
      </c>
      <c r="AC19" s="171"/>
      <c r="CH19" s="171" t="s">
        <v>162</v>
      </c>
      <c r="CI19" s="171" t="s">
        <v>162</v>
      </c>
      <c r="CJ19" s="83" t="s">
        <v>166</v>
      </c>
      <c r="CK19" s="83" t="s">
        <v>166</v>
      </c>
      <c r="CL19" s="83" t="s">
        <v>166</v>
      </c>
      <c r="CM19" s="83" t="s">
        <v>166</v>
      </c>
      <c r="CN19" s="83" t="s">
        <v>166</v>
      </c>
      <c r="CO19" s="83" t="s">
        <v>166</v>
      </c>
      <c r="CP19" s="83" t="s">
        <v>177</v>
      </c>
      <c r="CQ19" s="83" t="s">
        <v>177</v>
      </c>
      <c r="CR19" s="83" t="s">
        <v>177</v>
      </c>
      <c r="CS19" s="83" t="s">
        <v>177</v>
      </c>
      <c r="CT19" s="83" t="s">
        <v>166</v>
      </c>
      <c r="CU19" s="83" t="s">
        <v>177</v>
      </c>
      <c r="CV19" s="83" t="s">
        <v>176</v>
      </c>
      <c r="CW19" s="83" t="s">
        <v>178</v>
      </c>
    </row>
    <row r="20" spans="1:101" s="77" customFormat="1" ht="12.75" x14ac:dyDescent="0.2">
      <c r="B20" s="77" t="s">
        <v>127</v>
      </c>
      <c r="L20" s="157"/>
      <c r="M20" s="156"/>
      <c r="N20" s="156"/>
      <c r="O20" s="156"/>
      <c r="P20" s="156"/>
      <c r="Q20" s="156"/>
      <c r="R20" s="156"/>
      <c r="S20" s="156"/>
      <c r="T20" s="156"/>
      <c r="U20" s="157"/>
      <c r="V20" s="88"/>
      <c r="W20" s="159">
        <v>1</v>
      </c>
      <c r="X20" s="178">
        <f>0</f>
        <v>0</v>
      </c>
      <c r="Y20" s="178">
        <f>X11</f>
        <v>0.16666666666666666</v>
      </c>
      <c r="Z20" s="84">
        <f>(X20+Y20)/2</f>
        <v>8.3333333333333329E-2</v>
      </c>
      <c r="AA20" s="178">
        <f>$AA$11*Z20+$AA$12</f>
        <v>1.01111</v>
      </c>
      <c r="AB20" s="178">
        <f>$AB$11*Z20+$AB$12</f>
        <v>0.10083333333333334</v>
      </c>
      <c r="AC20" s="181">
        <f>$AC$11*Z20+$AC$12</f>
        <v>3.0333333333333332</v>
      </c>
      <c r="AD20" s="181">
        <f t="shared" ref="AD20:AN35" si="3">($AC20-($AC20-AD$18*$AA20))</f>
        <v>0.96055449999999976</v>
      </c>
      <c r="AE20" s="181">
        <f t="shared" si="3"/>
        <v>0.8594434999999998</v>
      </c>
      <c r="AF20" s="181">
        <f t="shared" si="3"/>
        <v>0.75833249999999985</v>
      </c>
      <c r="AG20" s="181">
        <f t="shared" si="3"/>
        <v>0.6572214999999999</v>
      </c>
      <c r="AH20" s="181">
        <f t="shared" si="3"/>
        <v>0.55611049999999995</v>
      </c>
      <c r="AI20" s="181">
        <f t="shared" si="3"/>
        <v>0.4549995</v>
      </c>
      <c r="AJ20" s="181">
        <f t="shared" si="3"/>
        <v>0.35388850000000005</v>
      </c>
      <c r="AK20" s="181">
        <f t="shared" si="3"/>
        <v>0.2527775000000001</v>
      </c>
      <c r="AL20" s="181">
        <f t="shared" si="3"/>
        <v>0.15166650000000015</v>
      </c>
      <c r="AM20" s="181">
        <f t="shared" si="3"/>
        <v>5.0555500000000198E-2</v>
      </c>
      <c r="AN20" s="181">
        <f t="shared" si="3"/>
        <v>0</v>
      </c>
      <c r="AO20" s="168">
        <f>AA20/10</f>
        <v>0.10111099999999999</v>
      </c>
      <c r="AP20" s="181">
        <f>AA20-AB20</f>
        <v>0.91027666666666662</v>
      </c>
      <c r="AQ20" s="181">
        <f t="shared" ref="AQ20:BA43" si="4">3*$C$32*(($AC20-($AC20-AD$18*$AA20))/$AA20)^2</f>
        <v>128.07130795847749</v>
      </c>
      <c r="AR20" s="181">
        <f t="shared" si="4"/>
        <v>102.52799999999998</v>
      </c>
      <c r="AS20" s="181">
        <f t="shared" si="4"/>
        <v>79.822837370242198</v>
      </c>
      <c r="AT20" s="181">
        <f t="shared" si="4"/>
        <v>59.955820069204144</v>
      </c>
      <c r="AU20" s="181">
        <f t="shared" si="4"/>
        <v>42.926948096885809</v>
      </c>
      <c r="AV20" s="181">
        <f t="shared" si="4"/>
        <v>28.7362214532872</v>
      </c>
      <c r="AW20" s="181">
        <f t="shared" si="4"/>
        <v>17.383640138408317</v>
      </c>
      <c r="AX20" s="181">
        <f t="shared" si="4"/>
        <v>8.8692041522491429</v>
      </c>
      <c r="AY20" s="181">
        <f t="shared" si="4"/>
        <v>3.1929134948096958</v>
      </c>
      <c r="AZ20" s="181">
        <f t="shared" si="4"/>
        <v>0.3547681660899682</v>
      </c>
      <c r="BA20" s="181">
        <f t="shared" si="4"/>
        <v>0</v>
      </c>
      <c r="BB20" s="181">
        <f>AQ20*($AO20*$X$11)</f>
        <v>2.1582363364982693</v>
      </c>
      <c r="BC20" s="181">
        <f t="shared" ref="BC20:BL35" si="5">AR20*($AO20*$X$11)</f>
        <v>1.7277847679999994</v>
      </c>
      <c r="BD20" s="181">
        <f t="shared" si="5"/>
        <v>1.3451611515570929</v>
      </c>
      <c r="BE20" s="181">
        <f t="shared" si="5"/>
        <v>1.0103654871695498</v>
      </c>
      <c r="BF20" s="181">
        <f t="shared" si="5"/>
        <v>0.72339777483737</v>
      </c>
      <c r="BG20" s="181">
        <f t="shared" si="5"/>
        <v>0.48425801456055356</v>
      </c>
      <c r="BH20" s="181">
        <f t="shared" si="5"/>
        <v>0.29294620633910051</v>
      </c>
      <c r="BI20" s="181">
        <f t="shared" si="5"/>
        <v>0.14946235017301049</v>
      </c>
      <c r="BJ20" s="181">
        <f t="shared" si="5"/>
        <v>5.3806446062283846E-2</v>
      </c>
      <c r="BK20" s="181">
        <f t="shared" si="5"/>
        <v>5.9784940069204607E-3</v>
      </c>
      <c r="BL20" s="181">
        <f t="shared" si="5"/>
        <v>0</v>
      </c>
      <c r="BM20" s="191">
        <f>SUM(BB20:BL20)</f>
        <v>7.9513970292041494</v>
      </c>
      <c r="BN20" s="191">
        <f t="shared" ref="BN20:BN49" si="6">BB20*(AD20-$AP20)</f>
        <v>0.10851144682040346</v>
      </c>
      <c r="BO20" s="191">
        <f t="shared" ref="BO20:BO49" si="7">BC20*(AE20-$AP20)</f>
        <v>-8.7828771075872225E-2</v>
      </c>
      <c r="BP20" s="191">
        <f t="shared" ref="BP20:BP49" si="8">BD20*(AF20-$AP20)</f>
        <v>-0.20438939020571634</v>
      </c>
      <c r="BQ20" s="191">
        <f t="shared" ref="BQ20:BQ49" si="9">BE20*(AG20-$AP20)</f>
        <v>-0.25567820674993835</v>
      </c>
      <c r="BR20" s="191">
        <f t="shared" ref="BR20:BR49" si="10">BF20*(AH20-$AP20)</f>
        <v>-0.25620301688934777</v>
      </c>
      <c r="BS20" s="191">
        <f t="shared" ref="BS20:BS49" si="11">BG20*(AI20-$AP20)</f>
        <v>-0.22047161680475422</v>
      </c>
      <c r="BT20" s="191">
        <f t="shared" ref="BT20:BT49" si="12">BH20*(AJ20-$AP20)</f>
        <v>-0.16299180267696714</v>
      </c>
      <c r="BU20" s="191">
        <f t="shared" ref="BU20:BU49" si="13">BI20*(AK20-$AP20)</f>
        <v>-9.8271370686795895E-2</v>
      </c>
      <c r="BV20" s="191">
        <f t="shared" ref="BV20:BV49" si="14">BJ20*(AL20-$AP20)</f>
        <v>-4.081811701505015E-2</v>
      </c>
      <c r="BW20" s="191">
        <f t="shared" ref="BW20:BW49" si="15">BK20*(AM20-$AP20)</f>
        <v>-5.1398378425393321E-3</v>
      </c>
      <c r="BX20" s="191">
        <f t="shared" ref="BX20:BX49" si="16">BL20*(AN20-$AP20)</f>
        <v>0</v>
      </c>
      <c r="BY20" s="191">
        <f>SUM(BN20:BX20)</f>
        <v>-1.2232806831265781</v>
      </c>
      <c r="CH20" s="178">
        <f t="shared" ref="CH20:CH49" si="17">AB20*$X$11</f>
        <v>1.6805555555555556E-2</v>
      </c>
      <c r="CI20" s="181">
        <f t="shared" ref="CI20:CI49" si="18">(AA20-AB20)*$X$11</f>
        <v>0.15171277777777775</v>
      </c>
      <c r="CJ20" s="182">
        <f>CH20</f>
        <v>1.6805555555555556E-2</v>
      </c>
      <c r="CK20" s="162">
        <f>CI20/2</f>
        <v>7.5856388888888876E-2</v>
      </c>
      <c r="CL20" s="181">
        <f>CJ20+CK20</f>
        <v>9.2661944444444436E-2</v>
      </c>
      <c r="CM20" s="180">
        <f t="shared" ref="CM20:CM49" si="19">CJ20*$CN$12</f>
        <v>3.0730092878313409E-2</v>
      </c>
      <c r="CN20" s="180">
        <f t="shared" ref="CN20:CN49" si="20">CK20*$CN$12</f>
        <v>0.13870852815683404</v>
      </c>
      <c r="CO20" s="180">
        <f t="shared" ref="CO20:CO49" si="21">CL20*$CN$12</f>
        <v>0.16943862103514745</v>
      </c>
      <c r="CP20" s="183">
        <f t="shared" ref="CP20:CP49" si="22">CM20*AB20/2</f>
        <v>1.5493088492816345E-3</v>
      </c>
      <c r="CQ20" s="183">
        <f t="shared" ref="CQ20:CQ49" si="23">-(AA20-AB20)/3*CN20</f>
        <v>-4.2087712216280791E-2</v>
      </c>
      <c r="CR20" s="186">
        <f>CP20+CQ20</f>
        <v>-4.0538403366999154E-2</v>
      </c>
      <c r="CS20" s="180">
        <f>SUM($CR$19:CR20)</f>
        <v>-4.0538403366999154E-2</v>
      </c>
      <c r="CT20" s="181">
        <f t="shared" ref="CT20:CT49" si="24">CO20*$CT$12</f>
        <v>8.0148571799269206</v>
      </c>
      <c r="CU20" s="181">
        <f t="shared" ref="CU20:CU49" si="25">CR20*$CT$12</f>
        <v>-1.9175646691634094</v>
      </c>
      <c r="CV20" s="188">
        <f>BM20/$X$11</f>
        <v>47.708382175224898</v>
      </c>
      <c r="CW20" s="188">
        <f>BY20</f>
        <v>-1.2232806831265781</v>
      </c>
    </row>
    <row r="21" spans="1:101" s="77" customFormat="1" ht="12.75" x14ac:dyDescent="0.2">
      <c r="B21" s="80" t="s">
        <v>82</v>
      </c>
      <c r="C21" s="77" t="str">
        <f>[1]!xln(C22)</f>
        <v>(120 / 104)²</v>
      </c>
      <c r="F21" s="80" t="s">
        <v>82</v>
      </c>
      <c r="G21" s="77" t="str">
        <f>[1]!xln(G22)</f>
        <v>(160 / 118)²</v>
      </c>
      <c r="L21" s="157"/>
      <c r="M21" s="156"/>
      <c r="N21" s="156"/>
      <c r="O21" s="156"/>
      <c r="P21" s="156"/>
      <c r="Q21" s="156"/>
      <c r="R21" s="156"/>
      <c r="S21" s="156"/>
      <c r="T21" s="156"/>
      <c r="U21" s="157"/>
      <c r="V21" s="88"/>
      <c r="W21" s="88">
        <v>2</v>
      </c>
      <c r="X21" s="178">
        <f>Y20</f>
        <v>0.16666666666666666</v>
      </c>
      <c r="Y21" s="84">
        <f t="shared" ref="Y21:Y49" si="26">X21+$X$11</f>
        <v>0.33333333333333331</v>
      </c>
      <c r="Z21" s="84">
        <f t="shared" ref="Z21:Z49" si="27">(X21+Y21)/2</f>
        <v>0.25</v>
      </c>
      <c r="AA21" s="178">
        <f t="shared" ref="AA21:AA49" si="28">$AA$11*Z21+$AA$12</f>
        <v>1.0333300000000001</v>
      </c>
      <c r="AB21" s="178">
        <f t="shared" ref="AB21:AB49" si="29">$AB$11*Z21+$AB$12</f>
        <v>0.10250000000000001</v>
      </c>
      <c r="AC21" s="181">
        <f t="shared" ref="AC21:AC49" si="30">$AC$11*Z21+$AC$12</f>
        <v>3.1</v>
      </c>
      <c r="AD21" s="181">
        <f t="shared" si="3"/>
        <v>0.98166350000000024</v>
      </c>
      <c r="AE21" s="181">
        <f t="shared" si="3"/>
        <v>0.87833050000000013</v>
      </c>
      <c r="AF21" s="181">
        <f t="shared" si="3"/>
        <v>0.77499750000000001</v>
      </c>
      <c r="AG21" s="181">
        <f t="shared" si="3"/>
        <v>0.67166449999999989</v>
      </c>
      <c r="AH21" s="181">
        <f t="shared" si="3"/>
        <v>0.56833150000000021</v>
      </c>
      <c r="AI21" s="181">
        <f t="shared" si="3"/>
        <v>0.46499850000000009</v>
      </c>
      <c r="AJ21" s="181">
        <f t="shared" si="3"/>
        <v>0.36166549999999997</v>
      </c>
      <c r="AK21" s="181">
        <f t="shared" si="3"/>
        <v>0.2583325000000003</v>
      </c>
      <c r="AL21" s="181">
        <f t="shared" si="3"/>
        <v>0.15499950000000018</v>
      </c>
      <c r="AM21" s="181">
        <f t="shared" si="3"/>
        <v>5.166650000000006E-2</v>
      </c>
      <c r="AN21" s="181">
        <f t="shared" si="3"/>
        <v>0</v>
      </c>
      <c r="AO21" s="168">
        <f t="shared" ref="AO21:AO49" si="31">AA21/10</f>
        <v>0.10333300000000001</v>
      </c>
      <c r="AP21" s="181">
        <f t="shared" ref="AP21:AP49" si="32">AA21-AB21</f>
        <v>0.93083000000000005</v>
      </c>
      <c r="AQ21" s="181">
        <f t="shared" si="4"/>
        <v>128.07130795847758</v>
      </c>
      <c r="AR21" s="181">
        <f t="shared" si="4"/>
        <v>102.52800000000003</v>
      </c>
      <c r="AS21" s="181">
        <f t="shared" si="4"/>
        <v>79.822837370242226</v>
      </c>
      <c r="AT21" s="181">
        <f t="shared" si="4"/>
        <v>59.955820069204123</v>
      </c>
      <c r="AU21" s="181">
        <f t="shared" si="4"/>
        <v>42.926948096885837</v>
      </c>
      <c r="AV21" s="181">
        <f t="shared" si="4"/>
        <v>28.736221453287211</v>
      </c>
      <c r="AW21" s="181">
        <f t="shared" si="4"/>
        <v>17.3836401384083</v>
      </c>
      <c r="AX21" s="181">
        <f t="shared" si="4"/>
        <v>8.8692041522491554</v>
      </c>
      <c r="AY21" s="181">
        <f t="shared" si="4"/>
        <v>3.1929134948096958</v>
      </c>
      <c r="AZ21" s="181">
        <f t="shared" si="4"/>
        <v>0.3547681660899662</v>
      </c>
      <c r="BA21" s="181">
        <f t="shared" si="4"/>
        <v>0</v>
      </c>
      <c r="BB21" s="181">
        <f t="shared" ref="BB21:BL49" si="33">AQ21*($AO21*$X$11)</f>
        <v>2.2056654108788938</v>
      </c>
      <c r="BC21" s="181">
        <f t="shared" si="5"/>
        <v>1.7657543040000006</v>
      </c>
      <c r="BD21" s="181">
        <f t="shared" si="5"/>
        <v>1.3747222089965401</v>
      </c>
      <c r="BE21" s="181">
        <f t="shared" si="5"/>
        <v>1.0325691258685117</v>
      </c>
      <c r="BF21" s="181">
        <f t="shared" si="5"/>
        <v>0.73929505461591738</v>
      </c>
      <c r="BG21" s="181">
        <f t="shared" si="5"/>
        <v>0.49489999523875455</v>
      </c>
      <c r="BH21" s="181">
        <f t="shared" si="5"/>
        <v>0.29938394773702415</v>
      </c>
      <c r="BI21" s="181">
        <f t="shared" si="5"/>
        <v>0.152746912110727</v>
      </c>
      <c r="BJ21" s="181">
        <f t="shared" si="5"/>
        <v>5.4988888359861716E-2</v>
      </c>
      <c r="BK21" s="181">
        <f t="shared" si="5"/>
        <v>6.1098764844290795E-3</v>
      </c>
      <c r="BL21" s="181">
        <f t="shared" si="5"/>
        <v>0</v>
      </c>
      <c r="BM21" s="191">
        <f t="shared" ref="BM21:BM49" si="34">SUM(BB21:BL21)</f>
        <v>8.1261357242906591</v>
      </c>
      <c r="BN21" s="191">
        <f t="shared" si="6"/>
        <v>0.11212169266391268</v>
      </c>
      <c r="BO21" s="191">
        <f t="shared" si="7"/>
        <v>-9.2701218082847883E-2</v>
      </c>
      <c r="BP21" s="191">
        <f t="shared" si="8"/>
        <v>-0.21422639863345339</v>
      </c>
      <c r="BQ21" s="191">
        <f t="shared" si="9"/>
        <v>-0.26760629379027595</v>
      </c>
      <c r="BR21" s="191">
        <f t="shared" si="10"/>
        <v>-0.267993348355688</v>
      </c>
      <c r="BS21" s="191">
        <f t="shared" si="11"/>
        <v>-0.23054000713206188</v>
      </c>
      <c r="BT21" s="191">
        <f t="shared" si="12"/>
        <v>-0.1703987149217695</v>
      </c>
      <c r="BU21" s="191">
        <f t="shared" si="13"/>
        <v>-0.10272191652718358</v>
      </c>
      <c r="BV21" s="191">
        <f t="shared" si="14"/>
        <v>-4.2662056750675685E-2</v>
      </c>
      <c r="BW21" s="191">
        <f t="shared" si="15"/>
        <v>-5.3715803946183648E-3</v>
      </c>
      <c r="BX21" s="191">
        <f t="shared" si="16"/>
        <v>0</v>
      </c>
      <c r="BY21" s="191">
        <f t="shared" ref="BY21:BY49" si="35">SUM(BN21:BX21)</f>
        <v>-1.2820998419246614</v>
      </c>
      <c r="CH21" s="178">
        <f t="shared" si="17"/>
        <v>1.7083333333333332E-2</v>
      </c>
      <c r="CI21" s="181">
        <f t="shared" si="18"/>
        <v>0.15513833333333332</v>
      </c>
      <c r="CJ21" s="182">
        <f t="shared" ref="CJ21:CJ49" si="36">CH21</f>
        <v>1.7083333333333332E-2</v>
      </c>
      <c r="CK21" s="162">
        <f t="shared" ref="CK21:CK49" si="37">CI21/2</f>
        <v>7.7569166666666661E-2</v>
      </c>
      <c r="CL21" s="181">
        <f t="shared" ref="CL21:CL49" si="38">CJ21+CK21</f>
        <v>9.4652500000000001E-2</v>
      </c>
      <c r="CM21" s="180">
        <f t="shared" si="19"/>
        <v>3.1238028297789662E-2</v>
      </c>
      <c r="CN21" s="180">
        <f t="shared" si="20"/>
        <v>0.14184045795332464</v>
      </c>
      <c r="CO21" s="180">
        <f t="shared" si="21"/>
        <v>0.1730784862511143</v>
      </c>
      <c r="CP21" s="183">
        <f t="shared" si="22"/>
        <v>1.6009489502617203E-3</v>
      </c>
      <c r="CQ21" s="183">
        <f t="shared" si="23"/>
        <v>-4.4009784492231065E-2</v>
      </c>
      <c r="CR21" s="186">
        <f t="shared" ref="CR21:CR49" si="39">CP21+CQ21</f>
        <v>-4.2408835541969343E-2</v>
      </c>
      <c r="CS21" s="180">
        <f>SUM($CR$19:CR21)</f>
        <v>-8.294723890896849E-2</v>
      </c>
      <c r="CT21" s="181">
        <f t="shared" si="24"/>
        <v>8.1870316209246834</v>
      </c>
      <c r="CU21" s="181">
        <f t="shared" si="25"/>
        <v>-2.0060406414980547</v>
      </c>
      <c r="CV21" s="188">
        <f t="shared" ref="CV21:CV49" si="40">BM21/$X$11</f>
        <v>48.756814345743955</v>
      </c>
      <c r="CW21" s="188">
        <f t="shared" ref="CW21:CW49" si="41">BY21</f>
        <v>-1.2820998419246614</v>
      </c>
    </row>
    <row r="22" spans="1:101" s="77" customFormat="1" ht="12.75" x14ac:dyDescent="0.2">
      <c r="B22" s="80" t="s">
        <v>82</v>
      </c>
      <c r="C22" s="115">
        <f>(C18/C17)^2</f>
        <v>1.3271578947368421</v>
      </c>
      <c r="D22" s="170"/>
      <c r="E22" s="170"/>
      <c r="F22" s="136" t="s">
        <v>82</v>
      </c>
      <c r="G22" s="115">
        <f>(G18/G17)^2</f>
        <v>1.8368967401201968</v>
      </c>
      <c r="L22" s="157"/>
      <c r="M22" s="156"/>
      <c r="N22" s="156"/>
      <c r="O22" s="156"/>
      <c r="P22" s="156"/>
      <c r="Q22" s="156"/>
      <c r="R22" s="156"/>
      <c r="S22" s="156"/>
      <c r="T22" s="156"/>
      <c r="U22" s="157"/>
      <c r="V22" s="88"/>
      <c r="W22" s="88">
        <v>3</v>
      </c>
      <c r="X22" s="178">
        <f t="shared" ref="X22:X49" si="42">Y21</f>
        <v>0.33333333333333331</v>
      </c>
      <c r="Y22" s="84">
        <f t="shared" si="26"/>
        <v>0.5</v>
      </c>
      <c r="Z22" s="84">
        <f t="shared" si="27"/>
        <v>0.41666666666666663</v>
      </c>
      <c r="AA22" s="178">
        <f t="shared" si="28"/>
        <v>1.05555</v>
      </c>
      <c r="AB22" s="178">
        <f t="shared" si="29"/>
        <v>0.10416666666666667</v>
      </c>
      <c r="AC22" s="181">
        <f t="shared" si="30"/>
        <v>3.1666666666666665</v>
      </c>
      <c r="AD22" s="181">
        <f t="shared" si="3"/>
        <v>1.0027724999999998</v>
      </c>
      <c r="AE22" s="181">
        <f t="shared" si="3"/>
        <v>0.8972175</v>
      </c>
      <c r="AF22" s="181">
        <f t="shared" si="3"/>
        <v>0.79166249999999971</v>
      </c>
      <c r="AG22" s="181">
        <f t="shared" si="3"/>
        <v>0.68610749999999987</v>
      </c>
      <c r="AH22" s="181">
        <f t="shared" si="3"/>
        <v>0.58055250000000003</v>
      </c>
      <c r="AI22" s="181">
        <f t="shared" si="3"/>
        <v>0.47499750000000018</v>
      </c>
      <c r="AJ22" s="181">
        <f t="shared" si="3"/>
        <v>0.3694424999999999</v>
      </c>
      <c r="AK22" s="181">
        <f t="shared" si="3"/>
        <v>0.26388750000000005</v>
      </c>
      <c r="AL22" s="181">
        <f t="shared" si="3"/>
        <v>0.15833250000000021</v>
      </c>
      <c r="AM22" s="181">
        <f t="shared" si="3"/>
        <v>5.2777499999999922E-2</v>
      </c>
      <c r="AN22" s="181">
        <f t="shared" si="3"/>
        <v>0</v>
      </c>
      <c r="AO22" s="168">
        <f t="shared" si="31"/>
        <v>0.105555</v>
      </c>
      <c r="AP22" s="181">
        <f t="shared" si="32"/>
        <v>0.95138333333333336</v>
      </c>
      <c r="AQ22" s="181">
        <f t="shared" si="4"/>
        <v>128.07130795847749</v>
      </c>
      <c r="AR22" s="181">
        <f t="shared" si="4"/>
        <v>102.52800000000001</v>
      </c>
      <c r="AS22" s="181">
        <f t="shared" si="4"/>
        <v>79.822837370242169</v>
      </c>
      <c r="AT22" s="181">
        <f t="shared" si="4"/>
        <v>59.955820069204144</v>
      </c>
      <c r="AU22" s="181">
        <f t="shared" si="4"/>
        <v>42.926948096885823</v>
      </c>
      <c r="AV22" s="181">
        <f t="shared" si="4"/>
        <v>28.736221453287222</v>
      </c>
      <c r="AW22" s="181">
        <f t="shared" si="4"/>
        <v>17.3836401384083</v>
      </c>
      <c r="AX22" s="181">
        <f t="shared" si="4"/>
        <v>8.8692041522491394</v>
      </c>
      <c r="AY22" s="181">
        <f t="shared" si="4"/>
        <v>3.1929134948096971</v>
      </c>
      <c r="AZ22" s="181">
        <f t="shared" si="4"/>
        <v>0.35476816608996442</v>
      </c>
      <c r="BA22" s="181">
        <f t="shared" si="4"/>
        <v>0</v>
      </c>
      <c r="BB22" s="181">
        <f t="shared" si="33"/>
        <v>2.2530944852595147</v>
      </c>
      <c r="BC22" s="181">
        <f t="shared" si="5"/>
        <v>1.8037238399999997</v>
      </c>
      <c r="BD22" s="181">
        <f t="shared" si="5"/>
        <v>1.4042832664359852</v>
      </c>
      <c r="BE22" s="181">
        <f t="shared" si="5"/>
        <v>1.0547727645674738</v>
      </c>
      <c r="BF22" s="181">
        <f t="shared" si="5"/>
        <v>0.75519233439446376</v>
      </c>
      <c r="BG22" s="181">
        <f t="shared" si="5"/>
        <v>0.50554197591695538</v>
      </c>
      <c r="BH22" s="181">
        <f t="shared" si="5"/>
        <v>0.30582168913494795</v>
      </c>
      <c r="BI22" s="181">
        <f t="shared" si="5"/>
        <v>0.15603147404844295</v>
      </c>
      <c r="BJ22" s="181">
        <f t="shared" si="5"/>
        <v>5.6171330657439587E-2</v>
      </c>
      <c r="BK22" s="181">
        <f t="shared" si="5"/>
        <v>6.2412589619376983E-3</v>
      </c>
      <c r="BL22" s="181">
        <f t="shared" si="5"/>
        <v>0</v>
      </c>
      <c r="BM22" s="191">
        <f t="shared" si="34"/>
        <v>8.3008744193771609</v>
      </c>
      <c r="BN22" s="191">
        <f t="shared" si="6"/>
        <v>0.11578464801874834</v>
      </c>
      <c r="BO22" s="191">
        <f t="shared" si="7"/>
        <v>-9.7700204896800036E-2</v>
      </c>
      <c r="BP22" s="191">
        <f t="shared" si="8"/>
        <v>-0.22429329355121136</v>
      </c>
      <c r="BQ22" s="191">
        <f t="shared" si="9"/>
        <v>-0.27980572409794058</v>
      </c>
      <c r="BR22" s="191">
        <f t="shared" si="10"/>
        <v>-0.28004860269044435</v>
      </c>
      <c r="BS22" s="191">
        <f t="shared" si="11"/>
        <v>-0.24083303548217863</v>
      </c>
      <c r="BT22" s="191">
        <f t="shared" si="12"/>
        <v>-0.17797012862659925</v>
      </c>
      <c r="BU22" s="191">
        <f t="shared" si="13"/>
        <v>-0.10727098827716265</v>
      </c>
      <c r="BV22" s="191">
        <f t="shared" si="14"/>
        <v>-4.4546720587324666E-2</v>
      </c>
      <c r="BW22" s="191">
        <f t="shared" si="15"/>
        <v>-5.6084317105411612E-3</v>
      </c>
      <c r="BX22" s="191">
        <f t="shared" si="16"/>
        <v>0</v>
      </c>
      <c r="BY22" s="191">
        <f t="shared" si="35"/>
        <v>-1.3422924819014546</v>
      </c>
      <c r="CH22" s="178">
        <f t="shared" si="17"/>
        <v>1.7361111111111112E-2</v>
      </c>
      <c r="CI22" s="181">
        <f t="shared" si="18"/>
        <v>0.15856388888888889</v>
      </c>
      <c r="CJ22" s="182">
        <f t="shared" si="36"/>
        <v>1.7361111111111112E-2</v>
      </c>
      <c r="CK22" s="162">
        <f t="shared" si="37"/>
        <v>7.9281944444444447E-2</v>
      </c>
      <c r="CL22" s="181">
        <f t="shared" si="38"/>
        <v>9.6643055555555551E-2</v>
      </c>
      <c r="CM22" s="180">
        <f t="shared" si="19"/>
        <v>3.1745963717265922E-2</v>
      </c>
      <c r="CN22" s="180">
        <f t="shared" si="20"/>
        <v>0.14497238774981525</v>
      </c>
      <c r="CO22" s="180">
        <f t="shared" si="21"/>
        <v>0.17671835146708115</v>
      </c>
      <c r="CP22" s="183">
        <f t="shared" si="22"/>
        <v>1.6534356102742669E-3</v>
      </c>
      <c r="CQ22" s="183">
        <f t="shared" si="23"/>
        <v>-4.5974771166237244E-2</v>
      </c>
      <c r="CR22" s="186">
        <f t="shared" si="39"/>
        <v>-4.4321335555962973E-2</v>
      </c>
      <c r="CS22" s="180">
        <f>SUM($CR$19:CR22)</f>
        <v>-0.12726857446493145</v>
      </c>
      <c r="CT22" s="181">
        <f t="shared" si="24"/>
        <v>8.3592060619224444</v>
      </c>
      <c r="CU22" s="181">
        <f t="shared" si="25"/>
        <v>-2.0965065245129284</v>
      </c>
      <c r="CV22" s="188">
        <f t="shared" si="40"/>
        <v>49.805246516262969</v>
      </c>
      <c r="CW22" s="188">
        <f t="shared" si="41"/>
        <v>-1.3422924819014546</v>
      </c>
    </row>
    <row r="23" spans="1:101" s="77" customFormat="1" ht="12.75" x14ac:dyDescent="0.2">
      <c r="B23" s="76"/>
      <c r="C23" s="76"/>
      <c r="D23" s="101"/>
      <c r="F23" s="80"/>
      <c r="L23" s="157"/>
      <c r="M23" s="156"/>
      <c r="N23" s="156"/>
      <c r="O23" s="156"/>
      <c r="P23" s="156"/>
      <c r="Q23" s="156"/>
      <c r="R23" s="156"/>
      <c r="S23" s="156"/>
      <c r="T23" s="156"/>
      <c r="U23" s="157"/>
      <c r="V23" s="88"/>
      <c r="W23" s="88">
        <v>4</v>
      </c>
      <c r="X23" s="178">
        <f t="shared" si="42"/>
        <v>0.5</v>
      </c>
      <c r="Y23" s="84">
        <f t="shared" si="26"/>
        <v>0.66666666666666663</v>
      </c>
      <c r="Z23" s="84">
        <f t="shared" si="27"/>
        <v>0.58333333333333326</v>
      </c>
      <c r="AA23" s="178">
        <f t="shared" si="28"/>
        <v>1.0777700000000001</v>
      </c>
      <c r="AB23" s="178">
        <f t="shared" si="29"/>
        <v>0.10583333333333333</v>
      </c>
      <c r="AC23" s="181">
        <f t="shared" si="30"/>
        <v>3.2333333333333334</v>
      </c>
      <c r="AD23" s="181">
        <f t="shared" si="3"/>
        <v>1.0238814999999999</v>
      </c>
      <c r="AE23" s="181">
        <f t="shared" si="3"/>
        <v>0.91610450000000032</v>
      </c>
      <c r="AF23" s="181">
        <f t="shared" si="3"/>
        <v>0.80832749999999987</v>
      </c>
      <c r="AG23" s="181">
        <f t="shared" si="3"/>
        <v>0.7005505000000003</v>
      </c>
      <c r="AH23" s="181">
        <f t="shared" si="3"/>
        <v>0.59277349999999984</v>
      </c>
      <c r="AI23" s="181">
        <f t="shared" si="3"/>
        <v>0.48499650000000027</v>
      </c>
      <c r="AJ23" s="181">
        <f t="shared" si="3"/>
        <v>0.37721950000000026</v>
      </c>
      <c r="AK23" s="181">
        <f t="shared" si="3"/>
        <v>0.26944250000000025</v>
      </c>
      <c r="AL23" s="181">
        <f t="shared" si="3"/>
        <v>0.16166550000000024</v>
      </c>
      <c r="AM23" s="181">
        <f t="shared" si="3"/>
        <v>5.3888500000000228E-2</v>
      </c>
      <c r="AN23" s="181">
        <f t="shared" si="3"/>
        <v>0</v>
      </c>
      <c r="AO23" s="168">
        <f t="shared" si="31"/>
        <v>0.10777700000000001</v>
      </c>
      <c r="AP23" s="181">
        <f t="shared" si="32"/>
        <v>0.97193666666666678</v>
      </c>
      <c r="AQ23" s="181">
        <f t="shared" si="4"/>
        <v>128.07130795847749</v>
      </c>
      <c r="AR23" s="181">
        <f t="shared" si="4"/>
        <v>102.52800000000006</v>
      </c>
      <c r="AS23" s="181">
        <f t="shared" si="4"/>
        <v>79.822837370242169</v>
      </c>
      <c r="AT23" s="181">
        <f t="shared" si="4"/>
        <v>59.955820069204201</v>
      </c>
      <c r="AU23" s="181">
        <f t="shared" si="4"/>
        <v>42.926948096885795</v>
      </c>
      <c r="AV23" s="181">
        <f t="shared" si="4"/>
        <v>28.736221453287229</v>
      </c>
      <c r="AW23" s="181">
        <f t="shared" si="4"/>
        <v>17.383640138408325</v>
      </c>
      <c r="AX23" s="181">
        <f t="shared" si="4"/>
        <v>8.8692041522491518</v>
      </c>
      <c r="AY23" s="181">
        <f t="shared" si="4"/>
        <v>3.192913494809698</v>
      </c>
      <c r="AZ23" s="181">
        <f t="shared" si="4"/>
        <v>0.35476816608996831</v>
      </c>
      <c r="BA23" s="181">
        <f t="shared" si="4"/>
        <v>0</v>
      </c>
      <c r="BB23" s="181">
        <f t="shared" si="33"/>
        <v>2.3005235596401383</v>
      </c>
      <c r="BC23" s="181">
        <f t="shared" si="5"/>
        <v>1.8416933760000012</v>
      </c>
      <c r="BD23" s="181">
        <f t="shared" si="5"/>
        <v>1.4338443238754317</v>
      </c>
      <c r="BE23" s="181">
        <f t="shared" si="5"/>
        <v>1.0769764032664368</v>
      </c>
      <c r="BF23" s="181">
        <f t="shared" si="5"/>
        <v>0.77108961417301014</v>
      </c>
      <c r="BG23" s="181">
        <f t="shared" si="5"/>
        <v>0.51618395659515626</v>
      </c>
      <c r="BH23" s="181">
        <f t="shared" si="5"/>
        <v>0.31225943053287236</v>
      </c>
      <c r="BI23" s="181">
        <f t="shared" si="5"/>
        <v>0.15931603598615948</v>
      </c>
      <c r="BJ23" s="181">
        <f t="shared" si="5"/>
        <v>5.7353772955017472E-2</v>
      </c>
      <c r="BK23" s="181">
        <f t="shared" si="5"/>
        <v>6.3726414394464194E-3</v>
      </c>
      <c r="BL23" s="181">
        <f t="shared" si="5"/>
        <v>0</v>
      </c>
      <c r="BM23" s="191">
        <f t="shared" si="34"/>
        <v>8.4756131144636715</v>
      </c>
      <c r="BN23" s="191">
        <f t="shared" si="6"/>
        <v>0.1195003128849132</v>
      </c>
      <c r="BO23" s="191">
        <f t="shared" si="7"/>
        <v>-0.10282573151772768</v>
      </c>
      <c r="BP23" s="191">
        <f t="shared" si="8"/>
        <v>-0.23459007495898984</v>
      </c>
      <c r="BQ23" s="191">
        <f t="shared" si="9"/>
        <v>-0.29227649767293223</v>
      </c>
      <c r="BR23" s="191">
        <f t="shared" si="10"/>
        <v>-0.29236877989361693</v>
      </c>
      <c r="BS23" s="191">
        <f t="shared" si="11"/>
        <v>-0.25135070185510472</v>
      </c>
      <c r="BT23" s="191">
        <f t="shared" si="12"/>
        <v>-0.18570604379145664</v>
      </c>
      <c r="BU23" s="191">
        <f t="shared" si="13"/>
        <v>-0.11191858593673376</v>
      </c>
      <c r="BV23" s="191">
        <f t="shared" si="14"/>
        <v>-4.6472108524997113E-2</v>
      </c>
      <c r="BW23" s="191">
        <f t="shared" si="15"/>
        <v>-5.8503917903078122E-3</v>
      </c>
      <c r="BX23" s="191">
        <f t="shared" si="16"/>
        <v>0</v>
      </c>
      <c r="BY23" s="191">
        <f t="shared" si="35"/>
        <v>-1.4038586030569535</v>
      </c>
      <c r="CH23" s="178">
        <f t="shared" si="17"/>
        <v>1.7638888888888888E-2</v>
      </c>
      <c r="CI23" s="181">
        <f t="shared" si="18"/>
        <v>0.16198944444444446</v>
      </c>
      <c r="CJ23" s="182">
        <f t="shared" si="36"/>
        <v>1.7638888888888888E-2</v>
      </c>
      <c r="CK23" s="162">
        <f t="shared" si="37"/>
        <v>8.0994722222222232E-2</v>
      </c>
      <c r="CL23" s="181">
        <f t="shared" si="38"/>
        <v>9.8633611111111116E-2</v>
      </c>
      <c r="CM23" s="180">
        <f t="shared" si="19"/>
        <v>3.2253899136742169E-2</v>
      </c>
      <c r="CN23" s="180">
        <f t="shared" si="20"/>
        <v>0.14810431754630585</v>
      </c>
      <c r="CO23" s="180">
        <f t="shared" si="21"/>
        <v>0.18035821668304799</v>
      </c>
      <c r="CP23" s="183">
        <f t="shared" si="22"/>
        <v>1.7067688293192732E-3</v>
      </c>
      <c r="CQ23" s="183">
        <f t="shared" si="23"/>
        <v>-4.7982672238299343E-2</v>
      </c>
      <c r="CR23" s="186">
        <f t="shared" si="39"/>
        <v>-4.6275903408980072E-2</v>
      </c>
      <c r="CS23" s="180">
        <f>SUM($CR$19:CR23)</f>
        <v>-0.17354447787391153</v>
      </c>
      <c r="CT23" s="181">
        <f t="shared" si="24"/>
        <v>8.5313805029202072</v>
      </c>
      <c r="CU23" s="181">
        <f t="shared" si="25"/>
        <v>-2.188962318208032</v>
      </c>
      <c r="CV23" s="188">
        <f t="shared" si="40"/>
        <v>50.853678686782033</v>
      </c>
      <c r="CW23" s="188">
        <f t="shared" si="41"/>
        <v>-1.4038586030569535</v>
      </c>
    </row>
    <row r="24" spans="1:101" s="77" customFormat="1" ht="12.75" x14ac:dyDescent="0.2">
      <c r="A24" s="73"/>
      <c r="B24" s="77" t="s">
        <v>129</v>
      </c>
      <c r="G24" s="73"/>
      <c r="K24" s="73"/>
      <c r="L24" s="157"/>
      <c r="M24" s="156"/>
      <c r="N24" s="156"/>
      <c r="O24" s="156"/>
      <c r="P24" s="156"/>
      <c r="Q24" s="156"/>
      <c r="R24" s="156"/>
      <c r="S24" s="156"/>
      <c r="T24" s="156"/>
      <c r="U24" s="157"/>
      <c r="V24" s="88"/>
      <c r="W24" s="88">
        <v>5</v>
      </c>
      <c r="X24" s="178">
        <f t="shared" si="42"/>
        <v>0.66666666666666663</v>
      </c>
      <c r="Y24" s="84">
        <f t="shared" si="26"/>
        <v>0.83333333333333326</v>
      </c>
      <c r="Z24" s="84">
        <f t="shared" si="27"/>
        <v>0.75</v>
      </c>
      <c r="AA24" s="178">
        <f t="shared" si="28"/>
        <v>1.09999</v>
      </c>
      <c r="AB24" s="178">
        <f t="shared" si="29"/>
        <v>0.1075</v>
      </c>
      <c r="AC24" s="181">
        <f t="shared" si="30"/>
        <v>3.3</v>
      </c>
      <c r="AD24" s="181">
        <f t="shared" si="3"/>
        <v>1.0449904999999999</v>
      </c>
      <c r="AE24" s="181">
        <f t="shared" si="3"/>
        <v>0.93499149999999975</v>
      </c>
      <c r="AF24" s="181">
        <f t="shared" si="3"/>
        <v>0.82499250000000002</v>
      </c>
      <c r="AG24" s="181">
        <f t="shared" si="3"/>
        <v>0.71499350000000028</v>
      </c>
      <c r="AH24" s="181">
        <f t="shared" si="3"/>
        <v>0.6049945000000001</v>
      </c>
      <c r="AI24" s="181">
        <f t="shared" si="3"/>
        <v>0.49499549999999992</v>
      </c>
      <c r="AJ24" s="181">
        <f t="shared" si="3"/>
        <v>0.38499650000000019</v>
      </c>
      <c r="AK24" s="181">
        <f t="shared" si="3"/>
        <v>0.27499750000000001</v>
      </c>
      <c r="AL24" s="181">
        <f t="shared" si="3"/>
        <v>0.16499850000000027</v>
      </c>
      <c r="AM24" s="181">
        <f t="shared" si="3"/>
        <v>5.499950000000009E-2</v>
      </c>
      <c r="AN24" s="181">
        <f t="shared" si="3"/>
        <v>0</v>
      </c>
      <c r="AO24" s="168">
        <f t="shared" si="31"/>
        <v>0.109999</v>
      </c>
      <c r="AP24" s="181">
        <f t="shared" si="32"/>
        <v>0.99248999999999998</v>
      </c>
      <c r="AQ24" s="181">
        <f t="shared" si="4"/>
        <v>128.07130795847752</v>
      </c>
      <c r="AR24" s="181">
        <f t="shared" si="4"/>
        <v>102.52799999999995</v>
      </c>
      <c r="AS24" s="181">
        <f t="shared" si="4"/>
        <v>79.822837370242226</v>
      </c>
      <c r="AT24" s="181">
        <f t="shared" si="4"/>
        <v>59.955820069204201</v>
      </c>
      <c r="AU24" s="181">
        <f t="shared" si="4"/>
        <v>42.926948096885823</v>
      </c>
      <c r="AV24" s="181">
        <f t="shared" si="4"/>
        <v>28.736221453287186</v>
      </c>
      <c r="AW24" s="181">
        <f t="shared" si="4"/>
        <v>17.383640138408321</v>
      </c>
      <c r="AX24" s="181">
        <f t="shared" si="4"/>
        <v>8.8692041522491358</v>
      </c>
      <c r="AY24" s="181">
        <f t="shared" si="4"/>
        <v>3.1929134948096993</v>
      </c>
      <c r="AZ24" s="181">
        <f t="shared" si="4"/>
        <v>0.35476816608996653</v>
      </c>
      <c r="BA24" s="181">
        <f t="shared" si="4"/>
        <v>0</v>
      </c>
      <c r="BB24" s="181">
        <f t="shared" si="33"/>
        <v>2.347952634020761</v>
      </c>
      <c r="BC24" s="181">
        <f t="shared" si="5"/>
        <v>1.8796629119999988</v>
      </c>
      <c r="BD24" s="181">
        <f t="shared" si="5"/>
        <v>1.4634053813148789</v>
      </c>
      <c r="BE24" s="181">
        <f t="shared" si="5"/>
        <v>1.0991800419653988</v>
      </c>
      <c r="BF24" s="181">
        <f t="shared" si="5"/>
        <v>0.78698689395155719</v>
      </c>
      <c r="BG24" s="181">
        <f t="shared" si="5"/>
        <v>0.52682593727335614</v>
      </c>
      <c r="BH24" s="181">
        <f t="shared" si="5"/>
        <v>0.31869717193079611</v>
      </c>
      <c r="BI24" s="181">
        <f t="shared" si="5"/>
        <v>0.16260059792387543</v>
      </c>
      <c r="BJ24" s="181">
        <f t="shared" si="5"/>
        <v>5.8536215252595343E-2</v>
      </c>
      <c r="BK24" s="181">
        <f t="shared" si="5"/>
        <v>6.5040239169550373E-3</v>
      </c>
      <c r="BL24" s="181">
        <f t="shared" si="5"/>
        <v>0</v>
      </c>
      <c r="BM24" s="191">
        <f t="shared" si="34"/>
        <v>8.6503518095501715</v>
      </c>
      <c r="BN24" s="191">
        <f t="shared" si="6"/>
        <v>0.12326868726240685</v>
      </c>
      <c r="BO24" s="191">
        <f t="shared" si="7"/>
        <v>-0.10807779794563237</v>
      </c>
      <c r="BP24" s="191">
        <f t="shared" si="8"/>
        <v>-0.24511674285678886</v>
      </c>
      <c r="BQ24" s="191">
        <f t="shared" si="9"/>
        <v>-0.30501861451525097</v>
      </c>
      <c r="BR24" s="191">
        <f t="shared" si="10"/>
        <v>-0.30495387996520551</v>
      </c>
      <c r="BS24" s="191">
        <f t="shared" si="11"/>
        <v>-0.2620930062508397</v>
      </c>
      <c r="BT24" s="191">
        <f t="shared" si="12"/>
        <v>-0.19360646041634103</v>
      </c>
      <c r="BU24" s="191">
        <f t="shared" si="13"/>
        <v>-0.11666470950589619</v>
      </c>
      <c r="BV24" s="191">
        <f t="shared" si="14"/>
        <v>-4.8438220563692985E-2</v>
      </c>
      <c r="BW24" s="191">
        <f t="shared" si="15"/>
        <v>-6.0974606339181357E-3</v>
      </c>
      <c r="BX24" s="191">
        <f t="shared" si="16"/>
        <v>0</v>
      </c>
      <c r="BY24" s="191">
        <f t="shared" si="35"/>
        <v>-1.4667982053911588</v>
      </c>
      <c r="CH24" s="178">
        <f t="shared" si="17"/>
        <v>1.7916666666666664E-2</v>
      </c>
      <c r="CI24" s="181">
        <f t="shared" si="18"/>
        <v>0.16541499999999998</v>
      </c>
      <c r="CJ24" s="182">
        <f t="shared" si="36"/>
        <v>1.7916666666666664E-2</v>
      </c>
      <c r="CK24" s="162">
        <f t="shared" si="37"/>
        <v>8.2707499999999989E-2</v>
      </c>
      <c r="CL24" s="181">
        <f t="shared" si="38"/>
        <v>0.10062416666666665</v>
      </c>
      <c r="CM24" s="180">
        <f t="shared" si="19"/>
        <v>3.2761834556218422E-2</v>
      </c>
      <c r="CN24" s="180">
        <f t="shared" si="20"/>
        <v>0.15123624734279639</v>
      </c>
      <c r="CO24" s="180">
        <f t="shared" si="21"/>
        <v>0.18399808189901481</v>
      </c>
      <c r="CP24" s="183">
        <f t="shared" si="22"/>
        <v>1.7609486073967401E-3</v>
      </c>
      <c r="CQ24" s="183">
        <f t="shared" si="23"/>
        <v>-5.0033487708417333E-2</v>
      </c>
      <c r="CR24" s="186">
        <f t="shared" si="39"/>
        <v>-4.8272539101020591E-2</v>
      </c>
      <c r="CS24" s="180">
        <f>SUM($CR$19:CR24)</f>
        <v>-0.22181701697493211</v>
      </c>
      <c r="CT24" s="181">
        <f t="shared" si="24"/>
        <v>8.7035549439179665</v>
      </c>
      <c r="CU24" s="181">
        <f t="shared" si="25"/>
        <v>-2.2834080225833633</v>
      </c>
      <c r="CV24" s="188">
        <f t="shared" si="40"/>
        <v>51.902110857301032</v>
      </c>
      <c r="CW24" s="188">
        <f t="shared" si="41"/>
        <v>-1.4667982053911588</v>
      </c>
    </row>
    <row r="25" spans="1:101" s="77" customFormat="1" ht="12.75" x14ac:dyDescent="0.2">
      <c r="A25" s="73"/>
      <c r="B25" s="80" t="s">
        <v>82</v>
      </c>
      <c r="C25" s="115">
        <f>MAX(C22,G22)</f>
        <v>1.8368967401201968</v>
      </c>
      <c r="G25" s="73"/>
      <c r="K25" s="73"/>
      <c r="L25" s="157"/>
      <c r="M25" s="156"/>
      <c r="N25" s="156"/>
      <c r="O25" s="156"/>
      <c r="P25" s="156"/>
      <c r="Q25" s="156"/>
      <c r="R25" s="156"/>
      <c r="S25" s="156"/>
      <c r="T25" s="156"/>
      <c r="U25" s="157"/>
      <c r="V25" s="88"/>
      <c r="W25" s="88">
        <v>6</v>
      </c>
      <c r="X25" s="178">
        <f t="shared" si="42"/>
        <v>0.83333333333333326</v>
      </c>
      <c r="Y25" s="84">
        <f t="shared" si="26"/>
        <v>0.99999999999999989</v>
      </c>
      <c r="Z25" s="84">
        <f t="shared" si="27"/>
        <v>0.91666666666666652</v>
      </c>
      <c r="AA25" s="178">
        <f t="shared" si="28"/>
        <v>1.1222099999999999</v>
      </c>
      <c r="AB25" s="178">
        <f t="shared" si="29"/>
        <v>0.10916666666666666</v>
      </c>
      <c r="AC25" s="181">
        <f t="shared" si="30"/>
        <v>3.3666666666666667</v>
      </c>
      <c r="AD25" s="181">
        <f t="shared" si="3"/>
        <v>1.0660995</v>
      </c>
      <c r="AE25" s="181">
        <f t="shared" si="3"/>
        <v>0.95387850000000007</v>
      </c>
      <c r="AF25" s="181">
        <f t="shared" si="3"/>
        <v>0.84165749999999973</v>
      </c>
      <c r="AG25" s="181">
        <f t="shared" si="3"/>
        <v>0.72943649999999982</v>
      </c>
      <c r="AH25" s="181">
        <f t="shared" si="3"/>
        <v>0.61721549999999992</v>
      </c>
      <c r="AI25" s="181">
        <f t="shared" si="3"/>
        <v>0.50499450000000001</v>
      </c>
      <c r="AJ25" s="181">
        <f t="shared" si="3"/>
        <v>0.39277350000000011</v>
      </c>
      <c r="AK25" s="181">
        <f t="shared" si="3"/>
        <v>0.2805525000000002</v>
      </c>
      <c r="AL25" s="181">
        <f t="shared" si="3"/>
        <v>0.1683315000000003</v>
      </c>
      <c r="AM25" s="181">
        <f t="shared" si="3"/>
        <v>5.6110499999999952E-2</v>
      </c>
      <c r="AN25" s="181">
        <f t="shared" si="3"/>
        <v>0</v>
      </c>
      <c r="AO25" s="168">
        <f t="shared" si="31"/>
        <v>0.11222099999999999</v>
      </c>
      <c r="AP25" s="181">
        <f t="shared" si="32"/>
        <v>1.0130433333333333</v>
      </c>
      <c r="AQ25" s="181">
        <f t="shared" si="4"/>
        <v>128.07130795847752</v>
      </c>
      <c r="AR25" s="181">
        <f t="shared" si="4"/>
        <v>102.52800000000003</v>
      </c>
      <c r="AS25" s="181">
        <f t="shared" si="4"/>
        <v>79.822837370242169</v>
      </c>
      <c r="AT25" s="181">
        <f t="shared" si="4"/>
        <v>59.955820069204144</v>
      </c>
      <c r="AU25" s="181">
        <f t="shared" si="4"/>
        <v>42.926948096885809</v>
      </c>
      <c r="AV25" s="181">
        <f t="shared" si="4"/>
        <v>28.736221453287211</v>
      </c>
      <c r="AW25" s="181">
        <f t="shared" si="4"/>
        <v>17.383640138408321</v>
      </c>
      <c r="AX25" s="181">
        <f t="shared" si="4"/>
        <v>8.8692041522491518</v>
      </c>
      <c r="AY25" s="181">
        <f t="shared" si="4"/>
        <v>3.1929134948097007</v>
      </c>
      <c r="AZ25" s="181">
        <f t="shared" si="4"/>
        <v>0.35476816608996486</v>
      </c>
      <c r="BA25" s="181">
        <f t="shared" si="4"/>
        <v>0</v>
      </c>
      <c r="BB25" s="181">
        <f t="shared" si="33"/>
        <v>2.3953817084013842</v>
      </c>
      <c r="BC25" s="181">
        <f t="shared" si="5"/>
        <v>1.9176324480000004</v>
      </c>
      <c r="BD25" s="181">
        <f t="shared" si="5"/>
        <v>1.4929664387543242</v>
      </c>
      <c r="BE25" s="181">
        <f t="shared" si="5"/>
        <v>1.1213836806643596</v>
      </c>
      <c r="BF25" s="181">
        <f t="shared" si="5"/>
        <v>0.80288417373010368</v>
      </c>
      <c r="BG25" s="181">
        <f t="shared" si="5"/>
        <v>0.53746791795155724</v>
      </c>
      <c r="BH25" s="181">
        <f t="shared" si="5"/>
        <v>0.32513491332872002</v>
      </c>
      <c r="BI25" s="181">
        <f t="shared" si="5"/>
        <v>0.165885159861592</v>
      </c>
      <c r="BJ25" s="181">
        <f t="shared" si="5"/>
        <v>5.9718657550173228E-2</v>
      </c>
      <c r="BK25" s="181">
        <f t="shared" si="5"/>
        <v>6.635406394463657E-3</v>
      </c>
      <c r="BL25" s="181">
        <f t="shared" si="5"/>
        <v>0</v>
      </c>
      <c r="BM25" s="191">
        <f t="shared" si="34"/>
        <v>8.8250905046366785</v>
      </c>
      <c r="BN25" s="191">
        <f t="shared" si="6"/>
        <v>0.1270897711512286</v>
      </c>
      <c r="BO25" s="191">
        <f t="shared" si="7"/>
        <v>-0.11345640418051181</v>
      </c>
      <c r="BP25" s="191">
        <f t="shared" si="8"/>
        <v>-0.25587329724460917</v>
      </c>
      <c r="BQ25" s="191">
        <f t="shared" si="9"/>
        <v>-0.31803207462489708</v>
      </c>
      <c r="BR25" s="191">
        <f t="shared" si="10"/>
        <v>-0.31780390290521054</v>
      </c>
      <c r="BS25" s="191">
        <f t="shared" si="11"/>
        <v>-0.27305994866938438</v>
      </c>
      <c r="BT25" s="191">
        <f t="shared" si="12"/>
        <v>-0.20167137850125288</v>
      </c>
      <c r="BU25" s="191">
        <f t="shared" si="13"/>
        <v>-0.12150935898465071</v>
      </c>
      <c r="BV25" s="191">
        <f t="shared" si="14"/>
        <v>-5.0445056703412317E-2</v>
      </c>
      <c r="BW25" s="191">
        <f t="shared" si="15"/>
        <v>-6.3496382413722246E-3</v>
      </c>
      <c r="BX25" s="191">
        <f t="shared" si="16"/>
        <v>0</v>
      </c>
      <c r="BY25" s="191">
        <f t="shared" si="35"/>
        <v>-1.5311112889040726</v>
      </c>
      <c r="CH25" s="178">
        <f t="shared" si="17"/>
        <v>1.8194444444444444E-2</v>
      </c>
      <c r="CI25" s="181">
        <f t="shared" si="18"/>
        <v>0.16884055555555555</v>
      </c>
      <c r="CJ25" s="182">
        <f t="shared" si="36"/>
        <v>1.8194444444444444E-2</v>
      </c>
      <c r="CK25" s="162">
        <f t="shared" si="37"/>
        <v>8.4420277777777775E-2</v>
      </c>
      <c r="CL25" s="181">
        <f t="shared" si="38"/>
        <v>0.10261472222222222</v>
      </c>
      <c r="CM25" s="180">
        <f t="shared" si="19"/>
        <v>3.3269769975694682E-2</v>
      </c>
      <c r="CN25" s="180">
        <f t="shared" si="20"/>
        <v>0.15436817713928699</v>
      </c>
      <c r="CO25" s="180">
        <f t="shared" si="21"/>
        <v>0.18763794711498166</v>
      </c>
      <c r="CP25" s="183">
        <f t="shared" si="22"/>
        <v>1.8159749445066679E-3</v>
      </c>
      <c r="CQ25" s="183">
        <f t="shared" si="23"/>
        <v>-5.212721757659125E-2</v>
      </c>
      <c r="CR25" s="186">
        <f t="shared" si="39"/>
        <v>-5.0311242632084585E-2</v>
      </c>
      <c r="CS25" s="180">
        <f>SUM($CR$19:CR25)</f>
        <v>-0.2721282596070167</v>
      </c>
      <c r="CT25" s="181">
        <f t="shared" si="24"/>
        <v>8.8757293849157293</v>
      </c>
      <c r="CU25" s="181">
        <f t="shared" si="25"/>
        <v>-2.3798436376389245</v>
      </c>
      <c r="CV25" s="188">
        <f t="shared" si="40"/>
        <v>52.950543027820075</v>
      </c>
      <c r="CW25" s="188">
        <f t="shared" si="41"/>
        <v>-1.5311112889040726</v>
      </c>
    </row>
    <row r="26" spans="1:101" s="77" customFormat="1" ht="12.75" x14ac:dyDescent="0.2">
      <c r="A26" s="79"/>
      <c r="I26" s="73"/>
      <c r="J26" s="73"/>
      <c r="K26" s="73"/>
      <c r="L26" s="157"/>
      <c r="M26" s="156"/>
      <c r="N26" s="156"/>
      <c r="O26" s="156"/>
      <c r="P26" s="156"/>
      <c r="Q26" s="156"/>
      <c r="R26" s="156"/>
      <c r="S26" s="156"/>
      <c r="T26" s="156"/>
      <c r="U26" s="157"/>
      <c r="V26" s="88"/>
      <c r="W26" s="88">
        <v>7</v>
      </c>
      <c r="X26" s="178">
        <f t="shared" si="42"/>
        <v>0.99999999999999989</v>
      </c>
      <c r="Y26" s="84">
        <f t="shared" si="26"/>
        <v>1.1666666666666665</v>
      </c>
      <c r="Z26" s="84">
        <f t="shared" si="27"/>
        <v>1.0833333333333333</v>
      </c>
      <c r="AA26" s="178">
        <f t="shared" si="28"/>
        <v>1.1444300000000001</v>
      </c>
      <c r="AB26" s="178">
        <f t="shared" si="29"/>
        <v>0.11083333333333334</v>
      </c>
      <c r="AC26" s="181">
        <f t="shared" si="30"/>
        <v>3.4333333333333336</v>
      </c>
      <c r="AD26" s="181">
        <f t="shared" si="3"/>
        <v>1.0872085</v>
      </c>
      <c r="AE26" s="181">
        <f t="shared" si="3"/>
        <v>0.97276549999999995</v>
      </c>
      <c r="AF26" s="181">
        <f t="shared" si="3"/>
        <v>0.85832249999999988</v>
      </c>
      <c r="AG26" s="181">
        <f t="shared" si="3"/>
        <v>0.74387950000000025</v>
      </c>
      <c r="AH26" s="181">
        <f t="shared" si="3"/>
        <v>0.62943650000000018</v>
      </c>
      <c r="AI26" s="181">
        <f t="shared" si="3"/>
        <v>0.5149935000000001</v>
      </c>
      <c r="AJ26" s="181">
        <f t="shared" si="3"/>
        <v>0.40055050000000003</v>
      </c>
      <c r="AK26" s="181">
        <f t="shared" si="3"/>
        <v>0.28610749999999996</v>
      </c>
      <c r="AL26" s="181">
        <f t="shared" si="3"/>
        <v>0.17166450000000033</v>
      </c>
      <c r="AM26" s="181">
        <f t="shared" si="3"/>
        <v>5.7221500000000258E-2</v>
      </c>
      <c r="AN26" s="181">
        <f t="shared" si="3"/>
        <v>0</v>
      </c>
      <c r="AO26" s="168">
        <f t="shared" si="31"/>
        <v>0.114443</v>
      </c>
      <c r="AP26" s="181">
        <f t="shared" si="32"/>
        <v>1.0335966666666667</v>
      </c>
      <c r="AQ26" s="181">
        <f t="shared" si="4"/>
        <v>128.07130795847752</v>
      </c>
      <c r="AR26" s="181">
        <f t="shared" si="4"/>
        <v>102.52799999999998</v>
      </c>
      <c r="AS26" s="181">
        <f t="shared" si="4"/>
        <v>79.822837370242198</v>
      </c>
      <c r="AT26" s="181">
        <f t="shared" si="4"/>
        <v>59.955820069204179</v>
      </c>
      <c r="AU26" s="181">
        <f t="shared" si="4"/>
        <v>42.926948096885837</v>
      </c>
      <c r="AV26" s="181">
        <f t="shared" si="4"/>
        <v>28.736221453287211</v>
      </c>
      <c r="AW26" s="181">
        <f t="shared" si="4"/>
        <v>17.38364013840831</v>
      </c>
      <c r="AX26" s="181">
        <f t="shared" si="4"/>
        <v>8.8692041522491323</v>
      </c>
      <c r="AY26" s="181">
        <f t="shared" si="4"/>
        <v>3.1929134948097007</v>
      </c>
      <c r="AZ26" s="181">
        <f t="shared" si="4"/>
        <v>0.35476816608996864</v>
      </c>
      <c r="BA26" s="181">
        <f t="shared" si="4"/>
        <v>0</v>
      </c>
      <c r="BB26" s="181">
        <f t="shared" si="33"/>
        <v>2.4428107827820069</v>
      </c>
      <c r="BC26" s="181">
        <f t="shared" si="5"/>
        <v>1.9556019839999994</v>
      </c>
      <c r="BD26" s="181">
        <f t="shared" si="5"/>
        <v>1.5225274961937711</v>
      </c>
      <c r="BE26" s="181">
        <f t="shared" si="5"/>
        <v>1.1435873193633221</v>
      </c>
      <c r="BF26" s="181">
        <f t="shared" si="5"/>
        <v>0.81878145350865095</v>
      </c>
      <c r="BG26" s="181">
        <f t="shared" si="5"/>
        <v>0.54810989862975801</v>
      </c>
      <c r="BH26" s="181">
        <f t="shared" si="5"/>
        <v>0.33157265472664366</v>
      </c>
      <c r="BI26" s="181">
        <f t="shared" si="5"/>
        <v>0.16916972179930789</v>
      </c>
      <c r="BJ26" s="181">
        <f t="shared" si="5"/>
        <v>6.0901099847751092E-2</v>
      </c>
      <c r="BK26" s="181">
        <f t="shared" si="5"/>
        <v>6.7667888719723799E-3</v>
      </c>
      <c r="BL26" s="181">
        <f t="shared" si="5"/>
        <v>0</v>
      </c>
      <c r="BM26" s="191">
        <f t="shared" si="34"/>
        <v>8.9998291997231838</v>
      </c>
      <c r="BN26" s="191">
        <f t="shared" si="6"/>
        <v>0.13096356455137842</v>
      </c>
      <c r="BO26" s="191">
        <f t="shared" si="7"/>
        <v>-0.11896155022236816</v>
      </c>
      <c r="BP26" s="191">
        <f t="shared" si="8"/>
        <v>-0.26685973812245001</v>
      </c>
      <c r="BQ26" s="191">
        <f t="shared" si="9"/>
        <v>-0.33131687800186993</v>
      </c>
      <c r="BR26" s="191">
        <f t="shared" si="10"/>
        <v>-0.33091884871363186</v>
      </c>
      <c r="BS26" s="191">
        <f t="shared" si="11"/>
        <v>-0.28425152911073814</v>
      </c>
      <c r="BT26" s="191">
        <f t="shared" si="12"/>
        <v>-0.20990079804619199</v>
      </c>
      <c r="BU26" s="191">
        <f t="shared" si="13"/>
        <v>-0.1264525343729965</v>
      </c>
      <c r="BV26" s="191">
        <f t="shared" si="14"/>
        <v>-5.2492616944155086E-2</v>
      </c>
      <c r="BW26" s="191">
        <f t="shared" si="15"/>
        <v>-6.606924612670176E-3</v>
      </c>
      <c r="BX26" s="191">
        <f t="shared" si="16"/>
        <v>0</v>
      </c>
      <c r="BY26" s="191">
        <f t="shared" si="35"/>
        <v>-1.5967978535956935</v>
      </c>
      <c r="CH26" s="178">
        <f t="shared" si="17"/>
        <v>1.8472222222222223E-2</v>
      </c>
      <c r="CI26" s="181">
        <f t="shared" si="18"/>
        <v>0.17226611111111112</v>
      </c>
      <c r="CJ26" s="182">
        <f t="shared" si="36"/>
        <v>1.8472222222222223E-2</v>
      </c>
      <c r="CK26" s="162">
        <f t="shared" si="37"/>
        <v>8.613305555555556E-2</v>
      </c>
      <c r="CL26" s="181">
        <f t="shared" si="38"/>
        <v>0.10460527777777778</v>
      </c>
      <c r="CM26" s="180">
        <f t="shared" si="19"/>
        <v>3.3777705395170936E-2</v>
      </c>
      <c r="CN26" s="180">
        <f t="shared" si="20"/>
        <v>0.1575001069357776</v>
      </c>
      <c r="CO26" s="180">
        <f t="shared" si="21"/>
        <v>0.19127781233094854</v>
      </c>
      <c r="CP26" s="183">
        <f t="shared" si="22"/>
        <v>1.8718478406490561E-3</v>
      </c>
      <c r="CQ26" s="183">
        <f t="shared" si="23"/>
        <v>-5.4263861842821094E-2</v>
      </c>
      <c r="CR26" s="186">
        <f t="shared" si="39"/>
        <v>-5.2392014002172041E-2</v>
      </c>
      <c r="CS26" s="180">
        <f>SUM($CR$19:CR26)</f>
        <v>-0.32452027360918873</v>
      </c>
      <c r="CT26" s="181">
        <f t="shared" si="24"/>
        <v>9.0479038259134921</v>
      </c>
      <c r="CU26" s="181">
        <f t="shared" si="25"/>
        <v>-2.4782691633747156</v>
      </c>
      <c r="CV26" s="188">
        <f t="shared" si="40"/>
        <v>53.998975198339103</v>
      </c>
      <c r="CW26" s="188">
        <f t="shared" si="41"/>
        <v>-1.5967978535956935</v>
      </c>
    </row>
    <row r="27" spans="1:101" s="77" customFormat="1" ht="12.75" x14ac:dyDescent="0.2">
      <c r="B27" s="77" t="s">
        <v>213</v>
      </c>
      <c r="L27" s="157"/>
      <c r="M27" s="156"/>
      <c r="N27" s="156"/>
      <c r="O27" s="156"/>
      <c r="P27" s="156"/>
      <c r="Q27" s="156"/>
      <c r="R27" s="156"/>
      <c r="S27" s="156"/>
      <c r="T27" s="156"/>
      <c r="U27" s="157"/>
      <c r="V27" s="88"/>
      <c r="W27" s="88">
        <v>8</v>
      </c>
      <c r="X27" s="178">
        <f t="shared" si="42"/>
        <v>1.1666666666666665</v>
      </c>
      <c r="Y27" s="84">
        <f t="shared" si="26"/>
        <v>1.3333333333333333</v>
      </c>
      <c r="Z27" s="84">
        <f t="shared" si="27"/>
        <v>1.25</v>
      </c>
      <c r="AA27" s="178">
        <f t="shared" si="28"/>
        <v>1.16665</v>
      </c>
      <c r="AB27" s="178">
        <f t="shared" si="29"/>
        <v>0.1125</v>
      </c>
      <c r="AC27" s="181">
        <f t="shared" si="30"/>
        <v>3.5</v>
      </c>
      <c r="AD27" s="181">
        <f t="shared" si="3"/>
        <v>1.1083175000000001</v>
      </c>
      <c r="AE27" s="181">
        <f t="shared" si="3"/>
        <v>0.99165249999999983</v>
      </c>
      <c r="AF27" s="181">
        <f t="shared" si="3"/>
        <v>0.87498750000000003</v>
      </c>
      <c r="AG27" s="181">
        <f t="shared" si="3"/>
        <v>0.75832250000000023</v>
      </c>
      <c r="AH27" s="181">
        <f t="shared" si="3"/>
        <v>0.64165749999999999</v>
      </c>
      <c r="AI27" s="181">
        <f t="shared" si="3"/>
        <v>0.5249925000000002</v>
      </c>
      <c r="AJ27" s="181">
        <f t="shared" si="3"/>
        <v>0.40832749999999995</v>
      </c>
      <c r="AK27" s="181">
        <f t="shared" si="3"/>
        <v>0.29166250000000016</v>
      </c>
      <c r="AL27" s="181">
        <f t="shared" si="3"/>
        <v>0.17499749999999992</v>
      </c>
      <c r="AM27" s="181">
        <f t="shared" si="3"/>
        <v>5.833250000000012E-2</v>
      </c>
      <c r="AN27" s="181">
        <f t="shared" si="3"/>
        <v>0</v>
      </c>
      <c r="AO27" s="168">
        <f t="shared" si="31"/>
        <v>0.11666499999999999</v>
      </c>
      <c r="AP27" s="181">
        <f t="shared" si="32"/>
        <v>1.0541499999999999</v>
      </c>
      <c r="AQ27" s="181">
        <f t="shared" si="4"/>
        <v>128.07130795847752</v>
      </c>
      <c r="AR27" s="181">
        <f t="shared" si="4"/>
        <v>102.52799999999998</v>
      </c>
      <c r="AS27" s="181">
        <f t="shared" si="4"/>
        <v>79.822837370242226</v>
      </c>
      <c r="AT27" s="181">
        <f t="shared" si="4"/>
        <v>59.955820069204201</v>
      </c>
      <c r="AU27" s="181">
        <f t="shared" si="4"/>
        <v>42.926948096885823</v>
      </c>
      <c r="AV27" s="181">
        <f t="shared" si="4"/>
        <v>28.736221453287222</v>
      </c>
      <c r="AW27" s="181">
        <f t="shared" si="4"/>
        <v>17.383640138408303</v>
      </c>
      <c r="AX27" s="181">
        <f t="shared" si="4"/>
        <v>8.8692041522491483</v>
      </c>
      <c r="AY27" s="181">
        <f t="shared" si="4"/>
        <v>3.1929134948096864</v>
      </c>
      <c r="AZ27" s="181">
        <f t="shared" si="4"/>
        <v>0.35476816608996697</v>
      </c>
      <c r="BA27" s="181">
        <f t="shared" si="4"/>
        <v>0</v>
      </c>
      <c r="BB27" s="181">
        <f t="shared" si="33"/>
        <v>2.4902398571626296</v>
      </c>
      <c r="BC27" s="181">
        <f t="shared" si="5"/>
        <v>1.9935715199999995</v>
      </c>
      <c r="BD27" s="181">
        <f t="shared" si="5"/>
        <v>1.5520885536332181</v>
      </c>
      <c r="BE27" s="181">
        <f t="shared" si="5"/>
        <v>1.1657909580622845</v>
      </c>
      <c r="BF27" s="181">
        <f t="shared" si="5"/>
        <v>0.83467873328719733</v>
      </c>
      <c r="BG27" s="181">
        <f t="shared" si="5"/>
        <v>0.55875187930795889</v>
      </c>
      <c r="BH27" s="181">
        <f t="shared" si="5"/>
        <v>0.3380103961245674</v>
      </c>
      <c r="BI27" s="181">
        <f t="shared" si="5"/>
        <v>0.17245428373702446</v>
      </c>
      <c r="BJ27" s="181">
        <f t="shared" si="5"/>
        <v>6.2083542145328671E-2</v>
      </c>
      <c r="BK27" s="181">
        <f t="shared" si="5"/>
        <v>6.8981713494809986E-3</v>
      </c>
      <c r="BL27" s="181">
        <f t="shared" si="5"/>
        <v>0</v>
      </c>
      <c r="BM27" s="191">
        <f t="shared" si="34"/>
        <v>9.1745678948096892</v>
      </c>
      <c r="BN27" s="191">
        <f t="shared" si="6"/>
        <v>0.13489006746285712</v>
      </c>
      <c r="BO27" s="191">
        <f t="shared" si="7"/>
        <v>-0.12459323607120015</v>
      </c>
      <c r="BP27" s="191">
        <f t="shared" si="8"/>
        <v>-0.27807606549031127</v>
      </c>
      <c r="BQ27" s="191">
        <f t="shared" si="9"/>
        <v>-0.34487302464617009</v>
      </c>
      <c r="BR27" s="191">
        <f t="shared" si="10"/>
        <v>-0.34429871739046919</v>
      </c>
      <c r="BS27" s="191">
        <f t="shared" si="11"/>
        <v>-0.29566774757490111</v>
      </c>
      <c r="BT27" s="191">
        <f t="shared" si="12"/>
        <v>-0.21829471905115841</v>
      </c>
      <c r="BU27" s="191">
        <f t="shared" si="13"/>
        <v>-0.13149423567093441</v>
      </c>
      <c r="BV27" s="191">
        <f t="shared" si="14"/>
        <v>-5.4580901285921066E-2</v>
      </c>
      <c r="BW27" s="191">
        <f t="shared" si="15"/>
        <v>-6.869319747811793E-3</v>
      </c>
      <c r="BX27" s="191">
        <f t="shared" si="16"/>
        <v>0</v>
      </c>
      <c r="BY27" s="191">
        <f t="shared" si="35"/>
        <v>-1.6638578994660205</v>
      </c>
      <c r="CH27" s="178">
        <f t="shared" si="17"/>
        <v>1.8749999999999999E-2</v>
      </c>
      <c r="CI27" s="181">
        <f t="shared" si="18"/>
        <v>0.17569166666666663</v>
      </c>
      <c r="CJ27" s="182">
        <f t="shared" si="36"/>
        <v>1.8749999999999999E-2</v>
      </c>
      <c r="CK27" s="162">
        <f t="shared" si="37"/>
        <v>8.7845833333333317E-2</v>
      </c>
      <c r="CL27" s="181">
        <f t="shared" si="38"/>
        <v>0.10659583333333332</v>
      </c>
      <c r="CM27" s="180">
        <f t="shared" si="19"/>
        <v>3.4285640814647189E-2</v>
      </c>
      <c r="CN27" s="180">
        <f t="shared" si="20"/>
        <v>0.16063203673226814</v>
      </c>
      <c r="CO27" s="180">
        <f t="shared" si="21"/>
        <v>0.19491767754691533</v>
      </c>
      <c r="CP27" s="183">
        <f t="shared" si="22"/>
        <v>1.9285672958239044E-3</v>
      </c>
      <c r="CQ27" s="183">
        <f t="shared" si="23"/>
        <v>-5.6443420507106816E-2</v>
      </c>
      <c r="CR27" s="186">
        <f t="shared" si="39"/>
        <v>-5.451485321128291E-2</v>
      </c>
      <c r="CS27" s="180">
        <f>SUM($CR$19:CR27)</f>
        <v>-0.37903512682047164</v>
      </c>
      <c r="CT27" s="181">
        <f t="shared" si="24"/>
        <v>9.2200782669112513</v>
      </c>
      <c r="CU27" s="181">
        <f t="shared" si="25"/>
        <v>-2.5786845997907335</v>
      </c>
      <c r="CV27" s="188">
        <f t="shared" si="40"/>
        <v>55.047407368858138</v>
      </c>
      <c r="CW27" s="188">
        <f t="shared" si="41"/>
        <v>-1.6638578994660205</v>
      </c>
    </row>
    <row r="28" spans="1:101" s="77" customFormat="1" ht="12.75" x14ac:dyDescent="0.2">
      <c r="B28" s="77" t="s">
        <v>208</v>
      </c>
      <c r="L28" s="157"/>
      <c r="M28" s="156"/>
      <c r="N28" s="156"/>
      <c r="O28" s="156"/>
      <c r="P28" s="156"/>
      <c r="Q28" s="156"/>
      <c r="R28" s="156"/>
      <c r="S28" s="156"/>
      <c r="T28" s="156"/>
      <c r="U28" s="157"/>
      <c r="V28" s="88"/>
      <c r="W28" s="88">
        <v>9</v>
      </c>
      <c r="X28" s="178">
        <f t="shared" si="42"/>
        <v>1.3333333333333333</v>
      </c>
      <c r="Y28" s="84">
        <f t="shared" si="26"/>
        <v>1.5</v>
      </c>
      <c r="Z28" s="84">
        <f t="shared" si="27"/>
        <v>1.4166666666666665</v>
      </c>
      <c r="AA28" s="178">
        <f t="shared" si="28"/>
        <v>1.1888700000000001</v>
      </c>
      <c r="AB28" s="178">
        <f t="shared" si="29"/>
        <v>0.11416666666666667</v>
      </c>
      <c r="AC28" s="181">
        <f t="shared" si="30"/>
        <v>3.5666666666666664</v>
      </c>
      <c r="AD28" s="181">
        <f t="shared" si="3"/>
        <v>1.1294265000000001</v>
      </c>
      <c r="AE28" s="181">
        <f t="shared" si="3"/>
        <v>1.0105395000000001</v>
      </c>
      <c r="AF28" s="181">
        <f t="shared" si="3"/>
        <v>0.89165250000000018</v>
      </c>
      <c r="AG28" s="181">
        <f t="shared" si="3"/>
        <v>0.77276550000000022</v>
      </c>
      <c r="AH28" s="181">
        <f t="shared" si="3"/>
        <v>0.65387850000000025</v>
      </c>
      <c r="AI28" s="181">
        <f t="shared" si="3"/>
        <v>0.53499150000000029</v>
      </c>
      <c r="AJ28" s="181">
        <f t="shared" si="3"/>
        <v>0.41610450000000032</v>
      </c>
      <c r="AK28" s="181">
        <f t="shared" si="3"/>
        <v>0.29721750000000036</v>
      </c>
      <c r="AL28" s="181">
        <f t="shared" si="3"/>
        <v>0.17833049999999995</v>
      </c>
      <c r="AM28" s="181">
        <f t="shared" si="3"/>
        <v>5.9443499999999982E-2</v>
      </c>
      <c r="AN28" s="181">
        <f t="shared" si="3"/>
        <v>0</v>
      </c>
      <c r="AO28" s="168">
        <f t="shared" si="31"/>
        <v>0.11888700000000001</v>
      </c>
      <c r="AP28" s="181">
        <f t="shared" si="32"/>
        <v>1.0747033333333333</v>
      </c>
      <c r="AQ28" s="181">
        <f t="shared" si="4"/>
        <v>128.07130795847752</v>
      </c>
      <c r="AR28" s="181">
        <f t="shared" si="4"/>
        <v>102.52800000000003</v>
      </c>
      <c r="AS28" s="181">
        <f t="shared" si="4"/>
        <v>79.822837370242254</v>
      </c>
      <c r="AT28" s="181">
        <f t="shared" si="4"/>
        <v>59.955820069204179</v>
      </c>
      <c r="AU28" s="181">
        <f t="shared" si="4"/>
        <v>42.926948096885837</v>
      </c>
      <c r="AV28" s="181">
        <f t="shared" si="4"/>
        <v>28.736221453287229</v>
      </c>
      <c r="AW28" s="181">
        <f t="shared" si="4"/>
        <v>17.383640138408332</v>
      </c>
      <c r="AX28" s="181">
        <f t="shared" si="4"/>
        <v>8.8692041522491554</v>
      </c>
      <c r="AY28" s="181">
        <f t="shared" si="4"/>
        <v>3.1929134948096864</v>
      </c>
      <c r="AZ28" s="181">
        <f t="shared" si="4"/>
        <v>0.3547681660899652</v>
      </c>
      <c r="BA28" s="181">
        <f t="shared" si="4"/>
        <v>0</v>
      </c>
      <c r="BB28" s="181">
        <f t="shared" si="33"/>
        <v>2.5376689315432528</v>
      </c>
      <c r="BC28" s="181">
        <f t="shared" si="5"/>
        <v>2.0315410560000005</v>
      </c>
      <c r="BD28" s="181">
        <f t="shared" si="5"/>
        <v>1.581649611072665</v>
      </c>
      <c r="BE28" s="181">
        <f t="shared" si="5"/>
        <v>1.1879945967612462</v>
      </c>
      <c r="BF28" s="181">
        <f t="shared" si="5"/>
        <v>0.85057601306574437</v>
      </c>
      <c r="BG28" s="181">
        <f t="shared" si="5"/>
        <v>0.56939385998615977</v>
      </c>
      <c r="BH28" s="181">
        <f t="shared" si="5"/>
        <v>0.34444813752249187</v>
      </c>
      <c r="BI28" s="181">
        <f t="shared" si="5"/>
        <v>0.17573884567474088</v>
      </c>
      <c r="BJ28" s="181">
        <f t="shared" si="5"/>
        <v>6.3265984442906528E-2</v>
      </c>
      <c r="BK28" s="181">
        <f t="shared" si="5"/>
        <v>7.0295538269896148E-3</v>
      </c>
      <c r="BL28" s="181">
        <f t="shared" si="5"/>
        <v>0</v>
      </c>
      <c r="BM28" s="191">
        <f t="shared" si="34"/>
        <v>9.349306589896198</v>
      </c>
      <c r="BN28" s="191">
        <f t="shared" si="6"/>
        <v>0.13886927988566361</v>
      </c>
      <c r="BO28" s="191">
        <f t="shared" si="7"/>
        <v>-0.13035146172700776</v>
      </c>
      <c r="BP28" s="191">
        <f t="shared" si="8"/>
        <v>-0.28952227934819363</v>
      </c>
      <c r="BQ28" s="191">
        <f t="shared" si="9"/>
        <v>-0.35870051455779745</v>
      </c>
      <c r="BR28" s="191">
        <f t="shared" si="10"/>
        <v>-0.35794350893572285</v>
      </c>
      <c r="BS28" s="191">
        <f t="shared" si="11"/>
        <v>-0.30730860406187344</v>
      </c>
      <c r="BT28" s="191">
        <f t="shared" si="12"/>
        <v>-0.2268531415161526</v>
      </c>
      <c r="BU28" s="191">
        <f t="shared" si="13"/>
        <v>-0.13663446287846392</v>
      </c>
      <c r="BV28" s="191">
        <f t="shared" si="14"/>
        <v>-5.670990972871072E-2</v>
      </c>
      <c r="BW28" s="191">
        <f t="shared" si="15"/>
        <v>-7.1368236467971718E-3</v>
      </c>
      <c r="BX28" s="191">
        <f t="shared" si="16"/>
        <v>0</v>
      </c>
      <c r="BY28" s="191">
        <f t="shared" si="35"/>
        <v>-1.7322914265150557</v>
      </c>
      <c r="CH28" s="178">
        <f t="shared" si="17"/>
        <v>1.9027777777777775E-2</v>
      </c>
      <c r="CI28" s="181">
        <f t="shared" si="18"/>
        <v>0.17911722222222221</v>
      </c>
      <c r="CJ28" s="182">
        <f t="shared" si="36"/>
        <v>1.9027777777777775E-2</v>
      </c>
      <c r="CK28" s="162">
        <f t="shared" si="37"/>
        <v>8.9558611111111103E-2</v>
      </c>
      <c r="CL28" s="181">
        <f t="shared" si="38"/>
        <v>0.10858638888888889</v>
      </c>
      <c r="CM28" s="180">
        <f t="shared" si="19"/>
        <v>3.4793576234123443E-2</v>
      </c>
      <c r="CN28" s="180">
        <f t="shared" si="20"/>
        <v>0.16376396652875874</v>
      </c>
      <c r="CO28" s="180">
        <f t="shared" si="21"/>
        <v>0.19855754276288221</v>
      </c>
      <c r="CP28" s="183">
        <f t="shared" si="22"/>
        <v>1.9861333100312131E-3</v>
      </c>
      <c r="CQ28" s="183">
        <f t="shared" si="23"/>
        <v>-5.8665893569448485E-2</v>
      </c>
      <c r="CR28" s="186">
        <f t="shared" si="39"/>
        <v>-5.6679760259417275E-2</v>
      </c>
      <c r="CS28" s="180">
        <f>SUM($CR$19:CR28)</f>
        <v>-0.43571488707988892</v>
      </c>
      <c r="CT28" s="181">
        <f t="shared" si="24"/>
        <v>9.3922527079090141</v>
      </c>
      <c r="CU28" s="181">
        <f t="shared" si="25"/>
        <v>-2.6810899468869827</v>
      </c>
      <c r="CV28" s="188">
        <f t="shared" si="40"/>
        <v>56.095839539377188</v>
      </c>
      <c r="CW28" s="188">
        <f t="shared" si="41"/>
        <v>-1.7322914265150557</v>
      </c>
    </row>
    <row r="29" spans="1:101" s="77" customFormat="1" ht="12.75" x14ac:dyDescent="0.2">
      <c r="B29" s="80" t="s">
        <v>122</v>
      </c>
      <c r="C29" s="167">
        <f>Analysis!F251</f>
        <v>25.751269035532996</v>
      </c>
      <c r="D29" s="91" t="s">
        <v>106</v>
      </c>
      <c r="E29" s="73"/>
      <c r="F29" s="73"/>
      <c r="L29" s="157"/>
      <c r="M29" s="156"/>
      <c r="N29" s="156"/>
      <c r="O29" s="156"/>
      <c r="P29" s="156"/>
      <c r="Q29" s="156"/>
      <c r="R29" s="156"/>
      <c r="S29" s="156"/>
      <c r="T29" s="156"/>
      <c r="U29" s="157"/>
      <c r="V29" s="88"/>
      <c r="W29" s="88">
        <v>10</v>
      </c>
      <c r="X29" s="178">
        <f t="shared" si="42"/>
        <v>1.5</v>
      </c>
      <c r="Y29" s="84">
        <f t="shared" si="26"/>
        <v>1.6666666666666667</v>
      </c>
      <c r="Z29" s="84">
        <f t="shared" si="27"/>
        <v>1.5833333333333335</v>
      </c>
      <c r="AA29" s="178">
        <f t="shared" si="28"/>
        <v>1.21109</v>
      </c>
      <c r="AB29" s="178">
        <f t="shared" si="29"/>
        <v>0.11583333333333334</v>
      </c>
      <c r="AC29" s="181">
        <f t="shared" si="30"/>
        <v>3.6333333333333333</v>
      </c>
      <c r="AD29" s="181">
        <f t="shared" si="3"/>
        <v>1.1505354999999997</v>
      </c>
      <c r="AE29" s="181">
        <f t="shared" si="3"/>
        <v>1.0294265</v>
      </c>
      <c r="AF29" s="181">
        <f t="shared" si="3"/>
        <v>0.90831749999999989</v>
      </c>
      <c r="AG29" s="181">
        <f t="shared" si="3"/>
        <v>0.78720849999999976</v>
      </c>
      <c r="AH29" s="181">
        <f t="shared" si="3"/>
        <v>0.66609950000000007</v>
      </c>
      <c r="AI29" s="181">
        <f t="shared" si="3"/>
        <v>0.54499049999999993</v>
      </c>
      <c r="AJ29" s="181">
        <f t="shared" si="3"/>
        <v>0.42388150000000024</v>
      </c>
      <c r="AK29" s="181">
        <f t="shared" si="3"/>
        <v>0.30277250000000011</v>
      </c>
      <c r="AL29" s="181">
        <f t="shared" si="3"/>
        <v>0.18166349999999998</v>
      </c>
      <c r="AM29" s="181">
        <f t="shared" si="3"/>
        <v>6.0554500000000289E-2</v>
      </c>
      <c r="AN29" s="181">
        <f t="shared" si="3"/>
        <v>0</v>
      </c>
      <c r="AO29" s="168">
        <f t="shared" si="31"/>
        <v>0.12110899999999999</v>
      </c>
      <c r="AP29" s="181">
        <f t="shared" si="32"/>
        <v>1.0952566666666668</v>
      </c>
      <c r="AQ29" s="181">
        <f t="shared" si="4"/>
        <v>128.07130795847746</v>
      </c>
      <c r="AR29" s="181">
        <f t="shared" si="4"/>
        <v>102.52800000000001</v>
      </c>
      <c r="AS29" s="181">
        <f t="shared" si="4"/>
        <v>79.822837370242198</v>
      </c>
      <c r="AT29" s="181">
        <f t="shared" si="4"/>
        <v>59.955820069204123</v>
      </c>
      <c r="AU29" s="181">
        <f t="shared" si="4"/>
        <v>42.926948096885823</v>
      </c>
      <c r="AV29" s="181">
        <f t="shared" si="4"/>
        <v>28.736221453287193</v>
      </c>
      <c r="AW29" s="181">
        <f t="shared" si="4"/>
        <v>17.383640138408325</v>
      </c>
      <c r="AX29" s="181">
        <f t="shared" si="4"/>
        <v>8.8692041522491429</v>
      </c>
      <c r="AY29" s="181">
        <f t="shared" si="4"/>
        <v>3.1929134948096887</v>
      </c>
      <c r="AZ29" s="181">
        <f t="shared" si="4"/>
        <v>0.35476816608996881</v>
      </c>
      <c r="BA29" s="181">
        <f t="shared" si="4"/>
        <v>0</v>
      </c>
      <c r="BB29" s="181">
        <f t="shared" si="33"/>
        <v>2.5850980059238742</v>
      </c>
      <c r="BC29" s="181">
        <f t="shared" si="5"/>
        <v>2.0695105919999999</v>
      </c>
      <c r="BD29" s="181">
        <f t="shared" si="5"/>
        <v>1.6112106685121104</v>
      </c>
      <c r="BE29" s="181">
        <f t="shared" si="5"/>
        <v>1.210198235460207</v>
      </c>
      <c r="BF29" s="181">
        <f t="shared" si="5"/>
        <v>0.86647329284429087</v>
      </c>
      <c r="BG29" s="181">
        <f t="shared" si="5"/>
        <v>0.58003584066435976</v>
      </c>
      <c r="BH29" s="181">
        <f t="shared" si="5"/>
        <v>0.35088587892041562</v>
      </c>
      <c r="BI29" s="181">
        <f t="shared" si="5"/>
        <v>0.17902340761245691</v>
      </c>
      <c r="BJ29" s="181">
        <f t="shared" si="5"/>
        <v>6.4448426740484427E-2</v>
      </c>
      <c r="BK29" s="181">
        <f t="shared" si="5"/>
        <v>7.1609363044983386E-3</v>
      </c>
      <c r="BL29" s="181">
        <f t="shared" si="5"/>
        <v>0</v>
      </c>
      <c r="BM29" s="191">
        <f t="shared" si="34"/>
        <v>9.5240452849826962</v>
      </c>
      <c r="BN29" s="191">
        <f t="shared" si="6"/>
        <v>0.14290120181979718</v>
      </c>
      <c r="BO29" s="191">
        <f t="shared" si="7"/>
        <v>-0.13623622718979214</v>
      </c>
      <c r="BP29" s="191">
        <f t="shared" si="8"/>
        <v>-0.30119837969609714</v>
      </c>
      <c r="BQ29" s="191">
        <f t="shared" si="9"/>
        <v>-0.37279934773675216</v>
      </c>
      <c r="BR29" s="191">
        <f t="shared" si="10"/>
        <v>-0.37185322334939286</v>
      </c>
      <c r="BS29" s="191">
        <f t="shared" si="11"/>
        <v>-0.3191740985716548</v>
      </c>
      <c r="BT29" s="191">
        <f t="shared" si="12"/>
        <v>-0.23557606544117379</v>
      </c>
      <c r="BU29" s="191">
        <f t="shared" si="13"/>
        <v>-0.14187321599558492</v>
      </c>
      <c r="BV29" s="191">
        <f t="shared" si="14"/>
        <v>-5.8879642272523854E-2</v>
      </c>
      <c r="BW29" s="191">
        <f t="shared" si="15"/>
        <v>-7.4094363096264227E-3</v>
      </c>
      <c r="BX29" s="191">
        <f t="shared" si="16"/>
        <v>0</v>
      </c>
      <c r="BY29" s="191">
        <f t="shared" si="35"/>
        <v>-1.8020984347428008</v>
      </c>
      <c r="CH29" s="178">
        <f t="shared" si="17"/>
        <v>1.9305555555555555E-2</v>
      </c>
      <c r="CI29" s="181">
        <f t="shared" si="18"/>
        <v>0.18254277777777778</v>
      </c>
      <c r="CJ29" s="182">
        <f t="shared" si="36"/>
        <v>1.9305555555555555E-2</v>
      </c>
      <c r="CK29" s="162">
        <f t="shared" si="37"/>
        <v>9.1271388888888888E-2</v>
      </c>
      <c r="CL29" s="181">
        <f t="shared" si="38"/>
        <v>0.11057694444444444</v>
      </c>
      <c r="CM29" s="180">
        <f t="shared" si="19"/>
        <v>3.5301511653599703E-2</v>
      </c>
      <c r="CN29" s="180">
        <f t="shared" si="20"/>
        <v>0.16689589632524934</v>
      </c>
      <c r="CO29" s="180">
        <f t="shared" si="21"/>
        <v>0.20219740797884903</v>
      </c>
      <c r="CP29" s="183">
        <f t="shared" si="22"/>
        <v>2.0445458832709829E-3</v>
      </c>
      <c r="CQ29" s="183">
        <f t="shared" si="23"/>
        <v>-6.0931281029846067E-2</v>
      </c>
      <c r="CR29" s="186">
        <f t="shared" si="39"/>
        <v>-5.8886735146575081E-2</v>
      </c>
      <c r="CS29" s="180">
        <f>SUM($CR$19:CR29)</f>
        <v>-0.49460162222646398</v>
      </c>
      <c r="CT29" s="181">
        <f t="shared" si="24"/>
        <v>9.5644271489067751</v>
      </c>
      <c r="CU29" s="181">
        <f t="shared" si="25"/>
        <v>-2.7854852046634604</v>
      </c>
      <c r="CV29" s="188">
        <f t="shared" si="40"/>
        <v>57.144271709896181</v>
      </c>
      <c r="CW29" s="188">
        <f t="shared" si="41"/>
        <v>-1.8020984347428008</v>
      </c>
    </row>
    <row r="30" spans="1:101" s="77" customFormat="1" ht="12.75" x14ac:dyDescent="0.2">
      <c r="B30" s="169" t="s">
        <v>131</v>
      </c>
      <c r="C30" s="104"/>
      <c r="D30" s="101"/>
      <c r="E30" s="73"/>
      <c r="F30" s="73"/>
      <c r="L30" s="157"/>
      <c r="M30" s="156"/>
      <c r="N30" s="156"/>
      <c r="O30" s="156"/>
      <c r="P30" s="156"/>
      <c r="Q30" s="156"/>
      <c r="R30" s="156"/>
      <c r="S30" s="156"/>
      <c r="T30" s="156"/>
      <c r="U30" s="157"/>
      <c r="V30" s="88"/>
      <c r="W30" s="88">
        <v>11</v>
      </c>
      <c r="X30" s="178">
        <f t="shared" si="42"/>
        <v>1.6666666666666667</v>
      </c>
      <c r="Y30" s="84">
        <f t="shared" si="26"/>
        <v>1.8333333333333335</v>
      </c>
      <c r="Z30" s="84">
        <f t="shared" si="27"/>
        <v>1.75</v>
      </c>
      <c r="AA30" s="178">
        <f t="shared" si="28"/>
        <v>1.2333100000000001</v>
      </c>
      <c r="AB30" s="178">
        <f t="shared" si="29"/>
        <v>0.11750000000000001</v>
      </c>
      <c r="AC30" s="181">
        <f t="shared" si="30"/>
        <v>3.7</v>
      </c>
      <c r="AD30" s="181">
        <f t="shared" si="3"/>
        <v>1.1716445000000002</v>
      </c>
      <c r="AE30" s="181">
        <f t="shared" si="3"/>
        <v>1.0483134999999999</v>
      </c>
      <c r="AF30" s="181">
        <f t="shared" si="3"/>
        <v>0.92498250000000004</v>
      </c>
      <c r="AG30" s="181">
        <f t="shared" si="3"/>
        <v>0.80165150000000018</v>
      </c>
      <c r="AH30" s="181">
        <f t="shared" si="3"/>
        <v>0.67832049999999988</v>
      </c>
      <c r="AI30" s="181">
        <f t="shared" si="3"/>
        <v>0.55498950000000002</v>
      </c>
      <c r="AJ30" s="181">
        <f t="shared" si="3"/>
        <v>0.43165850000000017</v>
      </c>
      <c r="AK30" s="181">
        <f t="shared" si="3"/>
        <v>0.30832750000000031</v>
      </c>
      <c r="AL30" s="181">
        <f t="shared" si="3"/>
        <v>0.18499650000000001</v>
      </c>
      <c r="AM30" s="181">
        <f t="shared" si="3"/>
        <v>6.1665500000000151E-2</v>
      </c>
      <c r="AN30" s="181">
        <f t="shared" si="3"/>
        <v>0</v>
      </c>
      <c r="AO30" s="168">
        <f t="shared" si="31"/>
        <v>0.12333100000000001</v>
      </c>
      <c r="AP30" s="181">
        <f t="shared" si="32"/>
        <v>1.1158100000000002</v>
      </c>
      <c r="AQ30" s="181">
        <f t="shared" si="4"/>
        <v>128.07130795847752</v>
      </c>
      <c r="AR30" s="181">
        <f t="shared" si="4"/>
        <v>102.52799999999998</v>
      </c>
      <c r="AS30" s="181">
        <f t="shared" si="4"/>
        <v>79.822837370242226</v>
      </c>
      <c r="AT30" s="181">
        <f t="shared" si="4"/>
        <v>59.955820069204179</v>
      </c>
      <c r="AU30" s="181">
        <f t="shared" si="4"/>
        <v>42.926948096885795</v>
      </c>
      <c r="AV30" s="181">
        <f t="shared" si="4"/>
        <v>28.736221453287193</v>
      </c>
      <c r="AW30" s="181">
        <f t="shared" si="4"/>
        <v>17.383640138408317</v>
      </c>
      <c r="AX30" s="181">
        <f t="shared" si="4"/>
        <v>8.8692041522491518</v>
      </c>
      <c r="AY30" s="181">
        <f t="shared" si="4"/>
        <v>3.1929134948096887</v>
      </c>
      <c r="AZ30" s="181">
        <f t="shared" si="4"/>
        <v>0.35476816608996703</v>
      </c>
      <c r="BA30" s="181">
        <f t="shared" si="4"/>
        <v>0</v>
      </c>
      <c r="BB30" s="181">
        <f t="shared" si="33"/>
        <v>2.6325270803044982</v>
      </c>
      <c r="BC30" s="181">
        <f t="shared" si="5"/>
        <v>2.1074801279999993</v>
      </c>
      <c r="BD30" s="181">
        <f t="shared" si="5"/>
        <v>1.6407717259515573</v>
      </c>
      <c r="BE30" s="181">
        <f t="shared" si="5"/>
        <v>1.23240187415917</v>
      </c>
      <c r="BF30" s="181">
        <f t="shared" si="5"/>
        <v>0.88237057262283691</v>
      </c>
      <c r="BG30" s="181">
        <f t="shared" si="5"/>
        <v>0.59067782134256042</v>
      </c>
      <c r="BH30" s="181">
        <f t="shared" si="5"/>
        <v>0.35732362031833936</v>
      </c>
      <c r="BI30" s="181">
        <f t="shared" si="5"/>
        <v>0.18230796955017334</v>
      </c>
      <c r="BJ30" s="181">
        <f t="shared" si="5"/>
        <v>6.5630869038062284E-2</v>
      </c>
      <c r="BK30" s="181">
        <f t="shared" si="5"/>
        <v>7.2923187820069539E-3</v>
      </c>
      <c r="BL30" s="181">
        <f t="shared" si="5"/>
        <v>0</v>
      </c>
      <c r="BM30" s="191">
        <f t="shared" si="34"/>
        <v>9.6987839800692033</v>
      </c>
      <c r="BN30" s="191">
        <f t="shared" si="6"/>
        <v>0.14698583326526152</v>
      </c>
      <c r="BO30" s="191">
        <f t="shared" si="7"/>
        <v>-0.14224753245955257</v>
      </c>
      <c r="BP30" s="191">
        <f t="shared" si="8"/>
        <v>-0.31310436653402107</v>
      </c>
      <c r="BQ30" s="191">
        <f t="shared" si="9"/>
        <v>-0.38716952418303363</v>
      </c>
      <c r="BR30" s="191">
        <f t="shared" si="10"/>
        <v>-0.38602786063147887</v>
      </c>
      <c r="BS30" s="191">
        <f t="shared" si="11"/>
        <v>-0.33126423110424552</v>
      </c>
      <c r="BT30" s="191">
        <f t="shared" si="12"/>
        <v>-0.24446349082622237</v>
      </c>
      <c r="BU30" s="191">
        <f t="shared" si="13"/>
        <v>-0.14721049502229783</v>
      </c>
      <c r="BV30" s="191">
        <f t="shared" si="14"/>
        <v>-6.1090098917360398E-2</v>
      </c>
      <c r="BW30" s="191">
        <f t="shared" si="15"/>
        <v>-7.6871577362993297E-3</v>
      </c>
      <c r="BX30" s="191">
        <f t="shared" si="16"/>
        <v>0</v>
      </c>
      <c r="BY30" s="191">
        <f t="shared" si="35"/>
        <v>-1.8732789241492502</v>
      </c>
      <c r="CH30" s="178">
        <f t="shared" si="17"/>
        <v>1.9583333333333335E-2</v>
      </c>
      <c r="CI30" s="181">
        <f t="shared" si="18"/>
        <v>0.18596833333333335</v>
      </c>
      <c r="CJ30" s="182">
        <f t="shared" si="36"/>
        <v>1.9583333333333335E-2</v>
      </c>
      <c r="CK30" s="162">
        <f t="shared" si="37"/>
        <v>9.2984166666666673E-2</v>
      </c>
      <c r="CL30" s="181">
        <f t="shared" si="38"/>
        <v>0.11256750000000001</v>
      </c>
      <c r="CM30" s="180">
        <f t="shared" si="19"/>
        <v>3.5809447073075956E-2</v>
      </c>
      <c r="CN30" s="180">
        <f t="shared" si="20"/>
        <v>0.17002782612173994</v>
      </c>
      <c r="CO30" s="180">
        <f t="shared" si="21"/>
        <v>0.2058372731948159</v>
      </c>
      <c r="CP30" s="183">
        <f t="shared" si="22"/>
        <v>2.1038050155432124E-3</v>
      </c>
      <c r="CQ30" s="183">
        <f t="shared" si="23"/>
        <v>-6.3239582888299561E-2</v>
      </c>
      <c r="CR30" s="186">
        <f t="shared" si="39"/>
        <v>-6.1135777872756349E-2</v>
      </c>
      <c r="CS30" s="180">
        <f>SUM($CR$19:CR30)</f>
        <v>-0.55573740009922035</v>
      </c>
      <c r="CT30" s="181">
        <f t="shared" si="24"/>
        <v>9.7366015899045379</v>
      </c>
      <c r="CU30" s="181">
        <f t="shared" si="25"/>
        <v>-2.891870373120168</v>
      </c>
      <c r="CV30" s="188">
        <f t="shared" si="40"/>
        <v>58.192703880415223</v>
      </c>
      <c r="CW30" s="188">
        <f t="shared" si="41"/>
        <v>-1.8732789241492502</v>
      </c>
    </row>
    <row r="31" spans="1:101" s="77" customFormat="1" ht="12.75" x14ac:dyDescent="0.2">
      <c r="B31" s="80" t="s">
        <v>82</v>
      </c>
      <c r="C31" s="77" t="str">
        <f>[1]!xln(C32)</f>
        <v>25.8 × 1.84</v>
      </c>
      <c r="L31" s="157"/>
      <c r="M31" s="156"/>
      <c r="N31" s="156"/>
      <c r="O31" s="156"/>
      <c r="P31" s="156"/>
      <c r="Q31" s="156"/>
      <c r="R31" s="156"/>
      <c r="S31" s="156"/>
      <c r="T31" s="156"/>
      <c r="U31" s="157"/>
      <c r="V31" s="88"/>
      <c r="W31" s="88">
        <v>12</v>
      </c>
      <c r="X31" s="178">
        <f t="shared" si="42"/>
        <v>1.8333333333333335</v>
      </c>
      <c r="Y31" s="84">
        <f t="shared" si="26"/>
        <v>2</v>
      </c>
      <c r="Z31" s="84">
        <f t="shared" si="27"/>
        <v>1.9166666666666667</v>
      </c>
      <c r="AA31" s="178">
        <f t="shared" si="28"/>
        <v>1.25553</v>
      </c>
      <c r="AB31" s="178">
        <f t="shared" si="29"/>
        <v>0.11916666666666667</v>
      </c>
      <c r="AC31" s="181">
        <f t="shared" si="30"/>
        <v>3.7666666666666666</v>
      </c>
      <c r="AD31" s="181">
        <f t="shared" si="3"/>
        <v>1.1927535000000002</v>
      </c>
      <c r="AE31" s="181">
        <f t="shared" si="3"/>
        <v>1.0672005000000002</v>
      </c>
      <c r="AF31" s="181">
        <f t="shared" si="3"/>
        <v>0.94164750000000019</v>
      </c>
      <c r="AG31" s="181">
        <f t="shared" si="3"/>
        <v>0.81609450000000017</v>
      </c>
      <c r="AH31" s="181">
        <f t="shared" si="3"/>
        <v>0.69054150000000014</v>
      </c>
      <c r="AI31" s="181">
        <f t="shared" si="3"/>
        <v>0.56498850000000012</v>
      </c>
      <c r="AJ31" s="181">
        <f t="shared" si="3"/>
        <v>0.43943550000000009</v>
      </c>
      <c r="AK31" s="181">
        <f t="shared" si="3"/>
        <v>0.31388250000000006</v>
      </c>
      <c r="AL31" s="181">
        <f t="shared" si="3"/>
        <v>0.18832950000000004</v>
      </c>
      <c r="AM31" s="181">
        <f t="shared" si="3"/>
        <v>6.2776500000000013E-2</v>
      </c>
      <c r="AN31" s="181">
        <f t="shared" si="3"/>
        <v>0</v>
      </c>
      <c r="AO31" s="168">
        <f t="shared" si="31"/>
        <v>0.125553</v>
      </c>
      <c r="AP31" s="181">
        <f t="shared" si="32"/>
        <v>1.1363633333333334</v>
      </c>
      <c r="AQ31" s="181">
        <f t="shared" si="4"/>
        <v>128.07130795847758</v>
      </c>
      <c r="AR31" s="181">
        <f t="shared" si="4"/>
        <v>102.52800000000006</v>
      </c>
      <c r="AS31" s="181">
        <f t="shared" si="4"/>
        <v>79.822837370242254</v>
      </c>
      <c r="AT31" s="181">
        <f t="shared" si="4"/>
        <v>59.955820069204179</v>
      </c>
      <c r="AU31" s="181">
        <f t="shared" si="4"/>
        <v>42.926948096885823</v>
      </c>
      <c r="AV31" s="181">
        <f t="shared" si="4"/>
        <v>28.736221453287211</v>
      </c>
      <c r="AW31" s="181">
        <f t="shared" si="4"/>
        <v>17.383640138408317</v>
      </c>
      <c r="AX31" s="181">
        <f t="shared" si="4"/>
        <v>8.8692041522491394</v>
      </c>
      <c r="AY31" s="181">
        <f t="shared" si="4"/>
        <v>3.1929134948096896</v>
      </c>
      <c r="AZ31" s="181">
        <f t="shared" si="4"/>
        <v>0.35476816608996559</v>
      </c>
      <c r="BA31" s="181">
        <f t="shared" si="4"/>
        <v>0</v>
      </c>
      <c r="BB31" s="181">
        <f t="shared" si="33"/>
        <v>2.6799561546851223</v>
      </c>
      <c r="BC31" s="181">
        <f t="shared" si="5"/>
        <v>2.1454496640000014</v>
      </c>
      <c r="BD31" s="181">
        <f t="shared" si="5"/>
        <v>1.6703327833910042</v>
      </c>
      <c r="BE31" s="181">
        <f t="shared" si="5"/>
        <v>1.2546055128581319</v>
      </c>
      <c r="BF31" s="181">
        <f t="shared" si="5"/>
        <v>0.89826785240138429</v>
      </c>
      <c r="BG31" s="181">
        <f t="shared" si="5"/>
        <v>0.60131980202076152</v>
      </c>
      <c r="BH31" s="181">
        <f t="shared" si="5"/>
        <v>0.36376136171626322</v>
      </c>
      <c r="BI31" s="181">
        <f t="shared" si="5"/>
        <v>0.18559253148788937</v>
      </c>
      <c r="BJ31" s="181">
        <f t="shared" si="5"/>
        <v>6.6813311335640155E-2</v>
      </c>
      <c r="BK31" s="181">
        <f t="shared" si="5"/>
        <v>7.4237012595155744E-3</v>
      </c>
      <c r="BL31" s="181">
        <f t="shared" si="5"/>
        <v>0</v>
      </c>
      <c r="BM31" s="191">
        <f t="shared" si="34"/>
        <v>9.8735226751557121</v>
      </c>
      <c r="BN31" s="191">
        <f t="shared" si="6"/>
        <v>0.15112317422205365</v>
      </c>
      <c r="BO31" s="191">
        <f t="shared" si="7"/>
        <v>-0.14838537753628775</v>
      </c>
      <c r="BP31" s="191">
        <f t="shared" si="8"/>
        <v>-0.32524023986196532</v>
      </c>
      <c r="BQ31" s="191">
        <f t="shared" si="9"/>
        <v>-0.40181104389664213</v>
      </c>
      <c r="BR31" s="191">
        <f t="shared" si="10"/>
        <v>-0.40046742078198116</v>
      </c>
      <c r="BS31" s="191">
        <f t="shared" si="11"/>
        <v>-0.34357900165964556</v>
      </c>
      <c r="BT31" s="191">
        <f t="shared" si="12"/>
        <v>-0.25351541767129826</v>
      </c>
      <c r="BU31" s="191">
        <f t="shared" si="13"/>
        <v>-0.15264629995860216</v>
      </c>
      <c r="BV31" s="191">
        <f t="shared" si="14"/>
        <v>-6.3341279663220396E-2</v>
      </c>
      <c r="BW31" s="191">
        <f t="shared" si="15"/>
        <v>-7.9699879268160037E-3</v>
      </c>
      <c r="BX31" s="191">
        <f t="shared" si="16"/>
        <v>0</v>
      </c>
      <c r="BY31" s="191">
        <f t="shared" si="35"/>
        <v>-1.9458328947344055</v>
      </c>
      <c r="CH31" s="178">
        <f t="shared" si="17"/>
        <v>1.9861111111111111E-2</v>
      </c>
      <c r="CI31" s="181">
        <f t="shared" si="18"/>
        <v>0.18939388888888889</v>
      </c>
      <c r="CJ31" s="182">
        <f t="shared" si="36"/>
        <v>1.9861111111111111E-2</v>
      </c>
      <c r="CK31" s="162">
        <f t="shared" si="37"/>
        <v>9.4696944444444445E-2</v>
      </c>
      <c r="CL31" s="181">
        <f t="shared" si="38"/>
        <v>0.11455805555555555</v>
      </c>
      <c r="CM31" s="180">
        <f t="shared" si="19"/>
        <v>3.631738249255221E-2</v>
      </c>
      <c r="CN31" s="180">
        <f t="shared" si="20"/>
        <v>0.17315975591823052</v>
      </c>
      <c r="CO31" s="180">
        <f t="shared" si="21"/>
        <v>0.20947713841078272</v>
      </c>
      <c r="CP31" s="183">
        <f t="shared" si="22"/>
        <v>2.1639107068479025E-3</v>
      </c>
      <c r="CQ31" s="183">
        <f t="shared" si="23"/>
        <v>-6.5590799144808948E-2</v>
      </c>
      <c r="CR31" s="186">
        <f t="shared" si="39"/>
        <v>-6.3426888437961043E-2</v>
      </c>
      <c r="CS31" s="180">
        <f>SUM($CR$19:CR31)</f>
        <v>-0.61916428853718142</v>
      </c>
      <c r="CT31" s="181">
        <f t="shared" si="24"/>
        <v>9.908776030902299</v>
      </c>
      <c r="CU31" s="181">
        <f t="shared" si="25"/>
        <v>-3.0002454522571029</v>
      </c>
      <c r="CV31" s="188">
        <f t="shared" si="40"/>
        <v>59.241136050934273</v>
      </c>
      <c r="CW31" s="188">
        <f t="shared" si="41"/>
        <v>-1.9458328947344055</v>
      </c>
    </row>
    <row r="32" spans="1:101" s="77" customFormat="1" ht="12.75" x14ac:dyDescent="0.2">
      <c r="A32" s="79"/>
      <c r="B32" s="80" t="s">
        <v>82</v>
      </c>
      <c r="C32" s="170">
        <f>C29*C25</f>
        <v>47.302422145328727</v>
      </c>
      <c r="D32" s="91" t="s">
        <v>106</v>
      </c>
      <c r="E32" s="73"/>
      <c r="F32" s="73"/>
      <c r="G32" s="73"/>
      <c r="H32" s="81"/>
      <c r="K32" s="73"/>
      <c r="L32" s="157"/>
      <c r="M32" s="156"/>
      <c r="N32" s="156"/>
      <c r="O32" s="156"/>
      <c r="P32" s="156"/>
      <c r="Q32" s="156"/>
      <c r="R32" s="156"/>
      <c r="S32" s="156"/>
      <c r="T32" s="156"/>
      <c r="U32" s="157"/>
      <c r="V32" s="88"/>
      <c r="W32" s="88">
        <v>13</v>
      </c>
      <c r="X32" s="178">
        <f t="shared" si="42"/>
        <v>2</v>
      </c>
      <c r="Y32" s="84">
        <f t="shared" si="26"/>
        <v>2.1666666666666665</v>
      </c>
      <c r="Z32" s="84">
        <f t="shared" si="27"/>
        <v>2.083333333333333</v>
      </c>
      <c r="AA32" s="178">
        <f t="shared" si="28"/>
        <v>1.2777499999999999</v>
      </c>
      <c r="AB32" s="178">
        <f t="shared" si="29"/>
        <v>0.12083333333333333</v>
      </c>
      <c r="AC32" s="181">
        <f t="shared" si="30"/>
        <v>3.833333333333333</v>
      </c>
      <c r="AD32" s="181">
        <f t="shared" si="3"/>
        <v>1.2138624999999998</v>
      </c>
      <c r="AE32" s="181">
        <f t="shared" si="3"/>
        <v>1.0860874999999997</v>
      </c>
      <c r="AF32" s="181">
        <f t="shared" si="3"/>
        <v>0.9583124999999999</v>
      </c>
      <c r="AG32" s="181">
        <f t="shared" si="3"/>
        <v>0.83053750000000015</v>
      </c>
      <c r="AH32" s="181">
        <f t="shared" si="3"/>
        <v>0.70276249999999996</v>
      </c>
      <c r="AI32" s="181">
        <f t="shared" si="3"/>
        <v>0.57498750000000021</v>
      </c>
      <c r="AJ32" s="181">
        <f t="shared" si="3"/>
        <v>0.44721250000000001</v>
      </c>
      <c r="AK32" s="181">
        <f t="shared" si="3"/>
        <v>0.31943750000000026</v>
      </c>
      <c r="AL32" s="181">
        <f t="shared" si="3"/>
        <v>0.19166250000000007</v>
      </c>
      <c r="AM32" s="181">
        <f t="shared" si="3"/>
        <v>6.3887500000000319E-2</v>
      </c>
      <c r="AN32" s="181">
        <f t="shared" si="3"/>
        <v>0</v>
      </c>
      <c r="AO32" s="168">
        <f t="shared" si="31"/>
        <v>0.127775</v>
      </c>
      <c r="AP32" s="181">
        <f t="shared" si="32"/>
        <v>1.1569166666666666</v>
      </c>
      <c r="AQ32" s="181">
        <f t="shared" si="4"/>
        <v>128.07130795847752</v>
      </c>
      <c r="AR32" s="181">
        <f t="shared" si="4"/>
        <v>102.52799999999995</v>
      </c>
      <c r="AS32" s="181">
        <f t="shared" si="4"/>
        <v>79.822837370242226</v>
      </c>
      <c r="AT32" s="181">
        <f t="shared" si="4"/>
        <v>59.955820069204179</v>
      </c>
      <c r="AU32" s="181">
        <f t="shared" si="4"/>
        <v>42.926948096885823</v>
      </c>
      <c r="AV32" s="181">
        <f t="shared" si="4"/>
        <v>28.736221453287222</v>
      </c>
      <c r="AW32" s="181">
        <f t="shared" si="4"/>
        <v>17.38364013840831</v>
      </c>
      <c r="AX32" s="181">
        <f t="shared" si="4"/>
        <v>8.8692041522491518</v>
      </c>
      <c r="AY32" s="181">
        <f t="shared" si="4"/>
        <v>3.1929134948096913</v>
      </c>
      <c r="AZ32" s="181">
        <f t="shared" si="4"/>
        <v>0.35476816608996903</v>
      </c>
      <c r="BA32" s="181">
        <f t="shared" si="4"/>
        <v>0</v>
      </c>
      <c r="BB32" s="181">
        <f t="shared" si="33"/>
        <v>2.7273852290657441</v>
      </c>
      <c r="BC32" s="181">
        <f t="shared" si="5"/>
        <v>2.183419199999999</v>
      </c>
      <c r="BD32" s="181">
        <f t="shared" si="5"/>
        <v>1.69989384083045</v>
      </c>
      <c r="BE32" s="181">
        <f t="shared" si="5"/>
        <v>1.2768091515570941</v>
      </c>
      <c r="BF32" s="181">
        <f t="shared" si="5"/>
        <v>0.91416513217993101</v>
      </c>
      <c r="BG32" s="181">
        <f t="shared" si="5"/>
        <v>0.61196178269896251</v>
      </c>
      <c r="BH32" s="181">
        <f t="shared" si="5"/>
        <v>0.37019910311418697</v>
      </c>
      <c r="BI32" s="181">
        <f t="shared" si="5"/>
        <v>0.18887709342560591</v>
      </c>
      <c r="BJ32" s="181">
        <f t="shared" si="5"/>
        <v>6.7995753633218053E-2</v>
      </c>
      <c r="BK32" s="181">
        <f t="shared" si="5"/>
        <v>7.555083737024299E-3</v>
      </c>
      <c r="BL32" s="181">
        <f t="shared" si="5"/>
        <v>0</v>
      </c>
      <c r="BM32" s="191">
        <f t="shared" si="34"/>
        <v>10.048261370242217</v>
      </c>
      <c r="BN32" s="191">
        <f t="shared" si="6"/>
        <v>0.15531322469017281</v>
      </c>
      <c r="BO32" s="191">
        <f t="shared" si="7"/>
        <v>-0.15464976242000053</v>
      </c>
      <c r="BP32" s="191">
        <f t="shared" si="8"/>
        <v>-0.33760599967993088</v>
      </c>
      <c r="BQ32" s="191">
        <f t="shared" si="9"/>
        <v>-0.41672390687757777</v>
      </c>
      <c r="BR32" s="191">
        <f t="shared" si="10"/>
        <v>-0.41517190380089974</v>
      </c>
      <c r="BS32" s="191">
        <f t="shared" si="11"/>
        <v>-0.35611841023785484</v>
      </c>
      <c r="BT32" s="191">
        <f t="shared" si="12"/>
        <v>-0.26273184597640142</v>
      </c>
      <c r="BU32" s="191">
        <f t="shared" si="13"/>
        <v>-0.15818063080449851</v>
      </c>
      <c r="BV32" s="191">
        <f t="shared" si="14"/>
        <v>-6.5633184510103859E-2</v>
      </c>
      <c r="BW32" s="191">
        <f t="shared" si="15"/>
        <v>-8.2579268811765524E-3</v>
      </c>
      <c r="BX32" s="191">
        <f t="shared" si="16"/>
        <v>0</v>
      </c>
      <c r="BY32" s="191">
        <f t="shared" si="35"/>
        <v>-2.0197603464982712</v>
      </c>
      <c r="CH32" s="178">
        <f t="shared" si="17"/>
        <v>2.0138888888888887E-2</v>
      </c>
      <c r="CI32" s="181">
        <f t="shared" si="18"/>
        <v>0.19281944444444443</v>
      </c>
      <c r="CJ32" s="182">
        <f t="shared" si="36"/>
        <v>2.0138888888888887E-2</v>
      </c>
      <c r="CK32" s="162">
        <f t="shared" si="37"/>
        <v>9.6409722222222216E-2</v>
      </c>
      <c r="CL32" s="181">
        <f t="shared" si="38"/>
        <v>0.1165486111111111</v>
      </c>
      <c r="CM32" s="180">
        <f t="shared" si="19"/>
        <v>3.6825317912028463E-2</v>
      </c>
      <c r="CN32" s="180">
        <f t="shared" si="20"/>
        <v>0.17629168571472109</v>
      </c>
      <c r="CO32" s="180">
        <f t="shared" si="21"/>
        <v>0.21311700362674954</v>
      </c>
      <c r="CP32" s="183">
        <f t="shared" si="22"/>
        <v>2.2248629571850532E-3</v>
      </c>
      <c r="CQ32" s="183">
        <f t="shared" si="23"/>
        <v>-6.7984929799374247E-2</v>
      </c>
      <c r="CR32" s="186">
        <f t="shared" si="39"/>
        <v>-6.5760066842189199E-2</v>
      </c>
      <c r="CS32" s="180">
        <f>SUM($CR$19:CR32)</f>
        <v>-0.68492435537937058</v>
      </c>
      <c r="CT32" s="181">
        <f t="shared" si="24"/>
        <v>10.08095047190006</v>
      </c>
      <c r="CU32" s="181">
        <f t="shared" si="25"/>
        <v>-3.1106104420742677</v>
      </c>
      <c r="CV32" s="188">
        <f t="shared" si="40"/>
        <v>60.289568221453308</v>
      </c>
      <c r="CW32" s="188">
        <f t="shared" si="41"/>
        <v>-2.0197603464982712</v>
      </c>
    </row>
    <row r="33" spans="1:101" s="77" customFormat="1" ht="12.75" x14ac:dyDescent="0.2">
      <c r="A33" s="79"/>
      <c r="B33" s="76"/>
      <c r="C33" s="78"/>
      <c r="D33" s="73"/>
      <c r="E33" s="73"/>
      <c r="F33" s="82"/>
      <c r="G33" s="73"/>
      <c r="H33" s="82"/>
      <c r="K33" s="73"/>
      <c r="L33" s="157"/>
      <c r="M33" s="156"/>
      <c r="N33" s="156"/>
      <c r="O33" s="156"/>
      <c r="P33" s="156"/>
      <c r="Q33" s="156"/>
      <c r="R33" s="156"/>
      <c r="S33" s="156"/>
      <c r="T33" s="156"/>
      <c r="U33" s="157"/>
      <c r="V33" s="88"/>
      <c r="W33" s="88">
        <v>14</v>
      </c>
      <c r="X33" s="178">
        <f t="shared" si="42"/>
        <v>2.1666666666666665</v>
      </c>
      <c r="Y33" s="84">
        <f t="shared" si="26"/>
        <v>2.333333333333333</v>
      </c>
      <c r="Z33" s="84">
        <f t="shared" si="27"/>
        <v>2.25</v>
      </c>
      <c r="AA33" s="178">
        <f t="shared" si="28"/>
        <v>1.2999700000000001</v>
      </c>
      <c r="AB33" s="178">
        <f t="shared" si="29"/>
        <v>0.1225</v>
      </c>
      <c r="AC33" s="181">
        <f t="shared" si="30"/>
        <v>3.9</v>
      </c>
      <c r="AD33" s="181">
        <f t="shared" si="3"/>
        <v>1.2349714999999999</v>
      </c>
      <c r="AE33" s="181">
        <f t="shared" si="3"/>
        <v>1.1049745</v>
      </c>
      <c r="AF33" s="181">
        <f t="shared" si="3"/>
        <v>0.97497750000000005</v>
      </c>
      <c r="AG33" s="181">
        <f t="shared" si="3"/>
        <v>0.84498050000000013</v>
      </c>
      <c r="AH33" s="181">
        <f t="shared" si="3"/>
        <v>0.71498350000000022</v>
      </c>
      <c r="AI33" s="181">
        <f t="shared" si="3"/>
        <v>0.58498649999999985</v>
      </c>
      <c r="AJ33" s="181">
        <f t="shared" si="3"/>
        <v>0.45498950000000038</v>
      </c>
      <c r="AK33" s="181">
        <f t="shared" si="3"/>
        <v>0.32499250000000002</v>
      </c>
      <c r="AL33" s="181">
        <f t="shared" si="3"/>
        <v>0.1949955000000001</v>
      </c>
      <c r="AM33" s="181">
        <f t="shared" si="3"/>
        <v>6.4998500000000181E-2</v>
      </c>
      <c r="AN33" s="181">
        <f t="shared" si="3"/>
        <v>0</v>
      </c>
      <c r="AO33" s="168">
        <f t="shared" si="31"/>
        <v>0.129997</v>
      </c>
      <c r="AP33" s="181">
        <f t="shared" si="32"/>
        <v>1.17747</v>
      </c>
      <c r="AQ33" s="181">
        <f t="shared" si="4"/>
        <v>128.07130795847749</v>
      </c>
      <c r="AR33" s="181">
        <f t="shared" si="4"/>
        <v>102.52800000000001</v>
      </c>
      <c r="AS33" s="181">
        <f t="shared" si="4"/>
        <v>79.822837370242226</v>
      </c>
      <c r="AT33" s="181">
        <f t="shared" si="4"/>
        <v>59.955820069204165</v>
      </c>
      <c r="AU33" s="181">
        <f t="shared" si="4"/>
        <v>42.926948096885837</v>
      </c>
      <c r="AV33" s="181">
        <f t="shared" si="4"/>
        <v>28.736221453287179</v>
      </c>
      <c r="AW33" s="181">
        <f t="shared" si="4"/>
        <v>17.383640138408332</v>
      </c>
      <c r="AX33" s="181">
        <f t="shared" si="4"/>
        <v>8.8692041522491358</v>
      </c>
      <c r="AY33" s="181">
        <f t="shared" si="4"/>
        <v>3.1929134948096922</v>
      </c>
      <c r="AZ33" s="181">
        <f t="shared" si="4"/>
        <v>0.35476816608996736</v>
      </c>
      <c r="BA33" s="181">
        <f t="shared" si="4"/>
        <v>0</v>
      </c>
      <c r="BB33" s="181">
        <f t="shared" si="33"/>
        <v>2.7748143034463664</v>
      </c>
      <c r="BC33" s="181">
        <f t="shared" si="5"/>
        <v>2.2213887360000002</v>
      </c>
      <c r="BD33" s="181">
        <f t="shared" si="5"/>
        <v>1.7294548982698965</v>
      </c>
      <c r="BE33" s="181">
        <f t="shared" si="5"/>
        <v>1.2990127902560558</v>
      </c>
      <c r="BF33" s="181">
        <f t="shared" si="5"/>
        <v>0.93006241195847805</v>
      </c>
      <c r="BG33" s="181">
        <f t="shared" si="5"/>
        <v>0.62260376337716228</v>
      </c>
      <c r="BH33" s="181">
        <f t="shared" si="5"/>
        <v>0.37663684451211132</v>
      </c>
      <c r="BI33" s="181">
        <f t="shared" si="5"/>
        <v>0.19216165536332183</v>
      </c>
      <c r="BJ33" s="181">
        <f t="shared" si="5"/>
        <v>6.9178195930795924E-2</v>
      </c>
      <c r="BK33" s="181">
        <f t="shared" si="5"/>
        <v>7.6864662145329143E-3</v>
      </c>
      <c r="BL33" s="181">
        <f t="shared" si="5"/>
        <v>0</v>
      </c>
      <c r="BM33" s="191">
        <f t="shared" si="34"/>
        <v>10.223000065328721</v>
      </c>
      <c r="BN33" s="191">
        <f t="shared" si="6"/>
        <v>0.15955598466962087</v>
      </c>
      <c r="BO33" s="191">
        <f t="shared" si="7"/>
        <v>-0.16104068711068811</v>
      </c>
      <c r="BP33" s="191">
        <f t="shared" si="8"/>
        <v>-0.35020164598791698</v>
      </c>
      <c r="BQ33" s="191">
        <f t="shared" si="9"/>
        <v>-0.43190811312584071</v>
      </c>
      <c r="BR33" s="191">
        <f t="shared" si="10"/>
        <v>-0.4301413096882345</v>
      </c>
      <c r="BS33" s="191">
        <f t="shared" si="11"/>
        <v>-0.36888245683887305</v>
      </c>
      <c r="BT33" s="191">
        <f t="shared" si="12"/>
        <v>-0.27211277574153231</v>
      </c>
      <c r="BU33" s="191">
        <f t="shared" si="13"/>
        <v>-0.16381348755998618</v>
      </c>
      <c r="BV33" s="191">
        <f t="shared" si="14"/>
        <v>-6.7965813458010754E-2</v>
      </c>
      <c r="BW33" s="191">
        <f t="shared" si="15"/>
        <v>-8.550974599380751E-3</v>
      </c>
      <c r="BX33" s="191">
        <f t="shared" si="16"/>
        <v>0</v>
      </c>
      <c r="BY33" s="191">
        <f t="shared" si="35"/>
        <v>-2.0950612794408427</v>
      </c>
      <c r="CH33" s="178">
        <f t="shared" si="17"/>
        <v>2.0416666666666666E-2</v>
      </c>
      <c r="CI33" s="181">
        <f t="shared" si="18"/>
        <v>0.196245</v>
      </c>
      <c r="CJ33" s="182">
        <f t="shared" si="36"/>
        <v>2.0416666666666666E-2</v>
      </c>
      <c r="CK33" s="162">
        <f t="shared" si="37"/>
        <v>9.8122500000000001E-2</v>
      </c>
      <c r="CL33" s="181">
        <f t="shared" si="38"/>
        <v>0.11853916666666667</v>
      </c>
      <c r="CM33" s="180">
        <f t="shared" si="19"/>
        <v>3.7333253331504716E-2</v>
      </c>
      <c r="CN33" s="180">
        <f t="shared" si="20"/>
        <v>0.17942361551121169</v>
      </c>
      <c r="CO33" s="180">
        <f t="shared" si="21"/>
        <v>0.21675686884271642</v>
      </c>
      <c r="CP33" s="183">
        <f t="shared" si="22"/>
        <v>2.2866617665546637E-3</v>
      </c>
      <c r="CQ33" s="183">
        <f t="shared" si="23"/>
        <v>-7.0421974851995472E-2</v>
      </c>
      <c r="CR33" s="186">
        <f t="shared" si="39"/>
        <v>-6.813531308544081E-2</v>
      </c>
      <c r="CS33" s="180">
        <f>SUM($CR$19:CR33)</f>
        <v>-0.75305966846481143</v>
      </c>
      <c r="CT33" s="181">
        <f t="shared" si="24"/>
        <v>10.253124912897823</v>
      </c>
      <c r="CU33" s="181">
        <f t="shared" si="25"/>
        <v>-3.2229653425716616</v>
      </c>
      <c r="CV33" s="188">
        <f t="shared" si="40"/>
        <v>61.338000391972329</v>
      </c>
      <c r="CW33" s="188">
        <f t="shared" si="41"/>
        <v>-2.0950612794408427</v>
      </c>
    </row>
    <row r="34" spans="1:101" s="77" customFormat="1" ht="12.75" x14ac:dyDescent="0.2">
      <c r="A34" s="73"/>
      <c r="B34" s="75" t="s">
        <v>218</v>
      </c>
      <c r="C34" s="73"/>
      <c r="D34" s="73"/>
      <c r="E34" s="73"/>
      <c r="F34" s="82"/>
      <c r="G34" s="73"/>
      <c r="H34" s="82"/>
      <c r="K34" s="73"/>
      <c r="L34" s="157"/>
      <c r="M34" s="156"/>
      <c r="N34" s="156"/>
      <c r="O34" s="156"/>
      <c r="P34" s="156"/>
      <c r="Q34" s="156"/>
      <c r="R34" s="156"/>
      <c r="S34" s="156"/>
      <c r="T34" s="156"/>
      <c r="U34" s="157"/>
      <c r="V34" s="88"/>
      <c r="W34" s="88">
        <v>15</v>
      </c>
      <c r="X34" s="178">
        <f t="shared" si="42"/>
        <v>2.333333333333333</v>
      </c>
      <c r="Y34" s="84">
        <f t="shared" si="26"/>
        <v>2.4999999999999996</v>
      </c>
      <c r="Z34" s="84">
        <f t="shared" si="27"/>
        <v>2.4166666666666661</v>
      </c>
      <c r="AA34" s="178">
        <f t="shared" si="28"/>
        <v>1.32219</v>
      </c>
      <c r="AB34" s="178">
        <f t="shared" si="29"/>
        <v>0.12416666666666666</v>
      </c>
      <c r="AC34" s="181">
        <f t="shared" si="30"/>
        <v>3.9666666666666663</v>
      </c>
      <c r="AD34" s="181">
        <f t="shared" si="3"/>
        <v>1.2560804999999999</v>
      </c>
      <c r="AE34" s="181">
        <f t="shared" si="3"/>
        <v>1.1238614999999998</v>
      </c>
      <c r="AF34" s="181">
        <f t="shared" si="3"/>
        <v>0.99164249999999976</v>
      </c>
      <c r="AG34" s="181">
        <f t="shared" si="3"/>
        <v>0.85942350000000012</v>
      </c>
      <c r="AH34" s="181">
        <f t="shared" si="3"/>
        <v>0.72720450000000003</v>
      </c>
      <c r="AI34" s="181">
        <f t="shared" si="3"/>
        <v>0.59498549999999994</v>
      </c>
      <c r="AJ34" s="181">
        <f t="shared" si="3"/>
        <v>0.4627665000000003</v>
      </c>
      <c r="AK34" s="181">
        <f t="shared" si="3"/>
        <v>0.33054750000000022</v>
      </c>
      <c r="AL34" s="181">
        <f t="shared" si="3"/>
        <v>0.19832850000000013</v>
      </c>
      <c r="AM34" s="181">
        <f t="shared" si="3"/>
        <v>6.6109500000000043E-2</v>
      </c>
      <c r="AN34" s="181">
        <f t="shared" si="3"/>
        <v>0</v>
      </c>
      <c r="AO34" s="168">
        <f t="shared" si="31"/>
        <v>0.132219</v>
      </c>
      <c r="AP34" s="181">
        <f t="shared" si="32"/>
        <v>1.1980233333333332</v>
      </c>
      <c r="AQ34" s="181">
        <f t="shared" si="4"/>
        <v>128.07130795847752</v>
      </c>
      <c r="AR34" s="181">
        <f t="shared" si="4"/>
        <v>102.52799999999998</v>
      </c>
      <c r="AS34" s="181">
        <f t="shared" si="4"/>
        <v>79.822837370242169</v>
      </c>
      <c r="AT34" s="181">
        <f t="shared" si="4"/>
        <v>59.955820069204179</v>
      </c>
      <c r="AU34" s="181">
        <f t="shared" si="4"/>
        <v>42.926948096885823</v>
      </c>
      <c r="AV34" s="181">
        <f t="shared" si="4"/>
        <v>28.736221453287193</v>
      </c>
      <c r="AW34" s="181">
        <f t="shared" si="4"/>
        <v>17.383640138408332</v>
      </c>
      <c r="AX34" s="181">
        <f t="shared" si="4"/>
        <v>8.8692041522491483</v>
      </c>
      <c r="AY34" s="181">
        <f t="shared" si="4"/>
        <v>3.1929134948096931</v>
      </c>
      <c r="AZ34" s="181">
        <f t="shared" si="4"/>
        <v>0.35476816608996586</v>
      </c>
      <c r="BA34" s="181">
        <f t="shared" si="4"/>
        <v>0</v>
      </c>
      <c r="BB34" s="181">
        <f t="shared" si="33"/>
        <v>2.82224337782699</v>
      </c>
      <c r="BC34" s="181">
        <f t="shared" si="5"/>
        <v>2.2593582719999996</v>
      </c>
      <c r="BD34" s="181">
        <f t="shared" si="5"/>
        <v>1.7590159557093417</v>
      </c>
      <c r="BE34" s="181">
        <f t="shared" si="5"/>
        <v>1.3212164289550179</v>
      </c>
      <c r="BF34" s="181">
        <f t="shared" si="5"/>
        <v>0.94595969173702443</v>
      </c>
      <c r="BG34" s="181">
        <f t="shared" si="5"/>
        <v>0.63324574405536327</v>
      </c>
      <c r="BH34" s="181">
        <f t="shared" si="5"/>
        <v>0.38307458591003524</v>
      </c>
      <c r="BI34" s="181">
        <f t="shared" si="5"/>
        <v>0.19544621730103837</v>
      </c>
      <c r="BJ34" s="181">
        <f t="shared" si="5"/>
        <v>7.0360638228373809E-2</v>
      </c>
      <c r="BK34" s="181">
        <f t="shared" si="5"/>
        <v>7.8178486920415322E-3</v>
      </c>
      <c r="BL34" s="181">
        <f t="shared" si="5"/>
        <v>0</v>
      </c>
      <c r="BM34" s="191">
        <f t="shared" si="34"/>
        <v>10.397738760415228</v>
      </c>
      <c r="BN34" s="191">
        <f t="shared" si="6"/>
        <v>0.16385145416039801</v>
      </c>
      <c r="BO34" s="191">
        <f t="shared" si="7"/>
        <v>-0.16755815160835205</v>
      </c>
      <c r="BP34" s="191">
        <f t="shared" si="8"/>
        <v>-0.36302717878592389</v>
      </c>
      <c r="BQ34" s="191">
        <f t="shared" si="9"/>
        <v>-0.44736366264143057</v>
      </c>
      <c r="BR34" s="191">
        <f t="shared" si="10"/>
        <v>-0.44537563844398537</v>
      </c>
      <c r="BS34" s="191">
        <f t="shared" si="11"/>
        <v>-0.38187114146270079</v>
      </c>
      <c r="BT34" s="191">
        <f t="shared" si="12"/>
        <v>-0.28165820696669031</v>
      </c>
      <c r="BU34" s="191">
        <f t="shared" si="13"/>
        <v>-0.16954487022506595</v>
      </c>
      <c r="BV34" s="191">
        <f t="shared" si="14"/>
        <v>-7.0339166506941095E-2</v>
      </c>
      <c r="BW34" s="191">
        <f t="shared" si="15"/>
        <v>-8.8491310814287159E-3</v>
      </c>
      <c r="BX34" s="191">
        <f t="shared" si="16"/>
        <v>0</v>
      </c>
      <c r="BY34" s="191">
        <f t="shared" si="35"/>
        <v>-2.171735693562121</v>
      </c>
      <c r="CH34" s="178">
        <f t="shared" si="17"/>
        <v>2.0694444444444442E-2</v>
      </c>
      <c r="CI34" s="181">
        <f t="shared" si="18"/>
        <v>0.19967055555555552</v>
      </c>
      <c r="CJ34" s="182">
        <f t="shared" si="36"/>
        <v>2.0694444444444442E-2</v>
      </c>
      <c r="CK34" s="162">
        <f t="shared" si="37"/>
        <v>9.9835277777777759E-2</v>
      </c>
      <c r="CL34" s="181">
        <f t="shared" si="38"/>
        <v>0.1205297222222222</v>
      </c>
      <c r="CM34" s="180">
        <f t="shared" si="19"/>
        <v>3.784118875098097E-2</v>
      </c>
      <c r="CN34" s="180">
        <f t="shared" si="20"/>
        <v>0.18255554530770224</v>
      </c>
      <c r="CO34" s="180">
        <f t="shared" si="21"/>
        <v>0.22039673405868321</v>
      </c>
      <c r="CP34" s="183">
        <f t="shared" si="22"/>
        <v>2.3493071349567352E-3</v>
      </c>
      <c r="CQ34" s="183">
        <f t="shared" si="23"/>
        <v>-7.2901934302672597E-2</v>
      </c>
      <c r="CR34" s="186">
        <f t="shared" si="39"/>
        <v>-7.0552627167715862E-2</v>
      </c>
      <c r="CS34" s="180">
        <f>SUM($CR$19:CR34)</f>
        <v>-0.82361229563252725</v>
      </c>
      <c r="CT34" s="181">
        <f t="shared" si="24"/>
        <v>10.425299353895582</v>
      </c>
      <c r="CU34" s="181">
        <f t="shared" si="25"/>
        <v>-3.337310153749284</v>
      </c>
      <c r="CV34" s="188">
        <f t="shared" si="40"/>
        <v>62.386432562491372</v>
      </c>
      <c r="CW34" s="188">
        <f t="shared" si="41"/>
        <v>-2.171735693562121</v>
      </c>
    </row>
    <row r="35" spans="1:101" s="77" customFormat="1" ht="12.75" x14ac:dyDescent="0.2">
      <c r="A35" s="79"/>
      <c r="B35" s="80"/>
      <c r="C35" s="81"/>
      <c r="D35" s="73"/>
      <c r="E35" s="73"/>
      <c r="F35" s="84"/>
      <c r="G35" s="73"/>
      <c r="H35" s="84"/>
      <c r="K35" s="103" t="s">
        <v>138</v>
      </c>
      <c r="L35" s="157"/>
      <c r="M35" s="156"/>
      <c r="N35" s="156"/>
      <c r="O35" s="156"/>
      <c r="P35" s="156"/>
      <c r="Q35" s="156"/>
      <c r="R35" s="156"/>
      <c r="S35" s="156"/>
      <c r="T35" s="156"/>
      <c r="U35" s="157"/>
      <c r="V35" s="88"/>
      <c r="W35" s="88">
        <v>16</v>
      </c>
      <c r="X35" s="178">
        <f t="shared" si="42"/>
        <v>2.4999999999999996</v>
      </c>
      <c r="Y35" s="84">
        <f t="shared" si="26"/>
        <v>2.6666666666666661</v>
      </c>
      <c r="Z35" s="84">
        <f t="shared" si="27"/>
        <v>2.583333333333333</v>
      </c>
      <c r="AA35" s="178">
        <f t="shared" si="28"/>
        <v>1.3444099999999999</v>
      </c>
      <c r="AB35" s="178">
        <f t="shared" si="29"/>
        <v>0.12583333333333332</v>
      </c>
      <c r="AC35" s="181">
        <f t="shared" si="30"/>
        <v>4.0333333333333332</v>
      </c>
      <c r="AD35" s="181">
        <f t="shared" si="3"/>
        <v>1.2771894999999995</v>
      </c>
      <c r="AE35" s="181">
        <f t="shared" si="3"/>
        <v>1.1427484999999997</v>
      </c>
      <c r="AF35" s="181">
        <f t="shared" si="3"/>
        <v>1.0083074999999999</v>
      </c>
      <c r="AG35" s="181">
        <f t="shared" si="3"/>
        <v>0.8738665000000001</v>
      </c>
      <c r="AH35" s="181">
        <f t="shared" si="3"/>
        <v>0.73942549999999985</v>
      </c>
      <c r="AI35" s="181">
        <f t="shared" si="3"/>
        <v>0.60498450000000004</v>
      </c>
      <c r="AJ35" s="181">
        <f t="shared" si="3"/>
        <v>0.47054350000000023</v>
      </c>
      <c r="AK35" s="181">
        <f t="shared" si="3"/>
        <v>0.33610249999999997</v>
      </c>
      <c r="AL35" s="181">
        <f t="shared" si="3"/>
        <v>0.20166150000000016</v>
      </c>
      <c r="AM35" s="181">
        <f t="shared" si="3"/>
        <v>6.7220500000000349E-2</v>
      </c>
      <c r="AN35" s="181">
        <f t="shared" si="3"/>
        <v>0</v>
      </c>
      <c r="AO35" s="168">
        <f t="shared" si="31"/>
        <v>0.13444099999999998</v>
      </c>
      <c r="AP35" s="181">
        <f t="shared" si="32"/>
        <v>1.2185766666666666</v>
      </c>
      <c r="AQ35" s="181">
        <f t="shared" si="4"/>
        <v>128.07130795847746</v>
      </c>
      <c r="AR35" s="181">
        <f t="shared" si="4"/>
        <v>102.52799999999998</v>
      </c>
      <c r="AS35" s="181">
        <f t="shared" si="4"/>
        <v>79.822837370242226</v>
      </c>
      <c r="AT35" s="181">
        <f t="shared" si="4"/>
        <v>59.955820069204179</v>
      </c>
      <c r="AU35" s="181">
        <f t="shared" si="4"/>
        <v>42.926948096885809</v>
      </c>
      <c r="AV35" s="181">
        <f t="shared" si="4"/>
        <v>28.736221453287211</v>
      </c>
      <c r="AW35" s="181">
        <f t="shared" si="4"/>
        <v>17.383640138408325</v>
      </c>
      <c r="AX35" s="181">
        <f t="shared" si="4"/>
        <v>8.8692041522491358</v>
      </c>
      <c r="AY35" s="181">
        <f t="shared" si="4"/>
        <v>3.1929134948096949</v>
      </c>
      <c r="AZ35" s="181">
        <f t="shared" si="4"/>
        <v>0.35476816608996919</v>
      </c>
      <c r="BA35" s="181">
        <f t="shared" si="4"/>
        <v>0</v>
      </c>
      <c r="BB35" s="181">
        <f t="shared" si="33"/>
        <v>2.8696724522076105</v>
      </c>
      <c r="BC35" s="181">
        <f t="shared" si="5"/>
        <v>2.297327807999999</v>
      </c>
      <c r="BD35" s="181">
        <f t="shared" si="5"/>
        <v>1.7885770131487886</v>
      </c>
      <c r="BE35" s="181">
        <f t="shared" si="5"/>
        <v>1.3434200676539796</v>
      </c>
      <c r="BF35" s="181">
        <f t="shared" si="5"/>
        <v>0.96185697151557059</v>
      </c>
      <c r="BG35" s="181">
        <f t="shared" si="5"/>
        <v>0.64388772473356415</v>
      </c>
      <c r="BH35" s="181">
        <f t="shared" si="5"/>
        <v>0.38951232730795882</v>
      </c>
      <c r="BI35" s="181">
        <f t="shared" si="5"/>
        <v>0.19873077923875429</v>
      </c>
      <c r="BJ35" s="181">
        <f t="shared" si="5"/>
        <v>7.154308052595168E-2</v>
      </c>
      <c r="BK35" s="181">
        <f t="shared" si="5"/>
        <v>7.9492311695502551E-3</v>
      </c>
      <c r="BL35" s="181">
        <f t="shared" si="5"/>
        <v>0</v>
      </c>
      <c r="BM35" s="191">
        <f t="shared" si="34"/>
        <v>10.57247745550173</v>
      </c>
      <c r="BN35" s="191">
        <f t="shared" si="6"/>
        <v>0.16819963316250136</v>
      </c>
      <c r="BO35" s="191">
        <f t="shared" si="7"/>
        <v>-0.17420215591299251</v>
      </c>
      <c r="BP35" s="191">
        <f t="shared" si="8"/>
        <v>-0.37608259807395161</v>
      </c>
      <c r="BQ35" s="191">
        <f t="shared" si="9"/>
        <v>-0.46309055542434774</v>
      </c>
      <c r="BR35" s="191">
        <f t="shared" si="10"/>
        <v>-0.46087489006815252</v>
      </c>
      <c r="BS35" s="191">
        <f t="shared" si="11"/>
        <v>-0.39508446410933784</v>
      </c>
      <c r="BT35" s="191">
        <f t="shared" si="12"/>
        <v>-0.29136813965187547</v>
      </c>
      <c r="BU35" s="191">
        <f t="shared" si="13"/>
        <v>-0.17537477879973701</v>
      </c>
      <c r="BV35" s="191">
        <f t="shared" si="14"/>
        <v>-7.2753243656894895E-2</v>
      </c>
      <c r="BW35" s="191">
        <f t="shared" si="15"/>
        <v>-9.1523963273205614E-3</v>
      </c>
      <c r="BX35" s="191">
        <f t="shared" si="16"/>
        <v>0</v>
      </c>
      <c r="BY35" s="191">
        <f t="shared" si="35"/>
        <v>-2.2497835888621087</v>
      </c>
      <c r="CH35" s="178">
        <f t="shared" si="17"/>
        <v>2.0972222222222218E-2</v>
      </c>
      <c r="CI35" s="181">
        <f t="shared" si="18"/>
        <v>0.20309611111111109</v>
      </c>
      <c r="CJ35" s="182">
        <f t="shared" si="36"/>
        <v>2.0972222222222218E-2</v>
      </c>
      <c r="CK35" s="162">
        <f t="shared" si="37"/>
        <v>0.10154805555555554</v>
      </c>
      <c r="CL35" s="181">
        <f t="shared" si="38"/>
        <v>0.12252027777777777</v>
      </c>
      <c r="CM35" s="180">
        <f t="shared" si="19"/>
        <v>3.8349124170457223E-2</v>
      </c>
      <c r="CN35" s="180">
        <f t="shared" si="20"/>
        <v>0.18568747510419284</v>
      </c>
      <c r="CO35" s="180">
        <f t="shared" si="21"/>
        <v>0.22403659927465008</v>
      </c>
      <c r="CP35" s="183">
        <f t="shared" si="22"/>
        <v>2.4127990623912668E-3</v>
      </c>
      <c r="CQ35" s="183">
        <f t="shared" si="23"/>
        <v>-7.5424808151405662E-2</v>
      </c>
      <c r="CR35" s="186">
        <f t="shared" si="39"/>
        <v>-7.3012009089014396E-2</v>
      </c>
      <c r="CS35" s="180">
        <f>SUM($CR$19:CR35)</f>
        <v>-0.89662430472154164</v>
      </c>
      <c r="CT35" s="181">
        <f t="shared" si="24"/>
        <v>10.597473794893347</v>
      </c>
      <c r="CU35" s="181">
        <f t="shared" si="25"/>
        <v>-3.4536448756071367</v>
      </c>
      <c r="CV35" s="188">
        <f t="shared" si="40"/>
        <v>63.434864733010379</v>
      </c>
      <c r="CW35" s="188">
        <f t="shared" si="41"/>
        <v>-2.2497835888621087</v>
      </c>
    </row>
    <row r="36" spans="1:101" s="77" customFormat="1" ht="12.75" x14ac:dyDescent="0.2">
      <c r="A36" s="79" t="s">
        <v>138</v>
      </c>
      <c r="E36" s="73"/>
      <c r="F36" s="84"/>
      <c r="G36" s="73"/>
      <c r="H36" s="84"/>
      <c r="K36" s="103" t="s">
        <v>137</v>
      </c>
      <c r="L36" s="157"/>
      <c r="M36" s="156"/>
      <c r="N36" s="156"/>
      <c r="O36" s="156"/>
      <c r="P36" s="156"/>
      <c r="Q36" s="156"/>
      <c r="R36" s="156"/>
      <c r="S36" s="156"/>
      <c r="T36" s="156"/>
      <c r="U36" s="157"/>
      <c r="V36" s="88"/>
      <c r="W36" s="88">
        <v>17</v>
      </c>
      <c r="X36" s="178">
        <f t="shared" si="42"/>
        <v>2.6666666666666661</v>
      </c>
      <c r="Y36" s="84">
        <f t="shared" si="26"/>
        <v>2.8333333333333326</v>
      </c>
      <c r="Z36" s="84">
        <f t="shared" si="27"/>
        <v>2.7499999999999991</v>
      </c>
      <c r="AA36" s="178">
        <f t="shared" si="28"/>
        <v>1.36663</v>
      </c>
      <c r="AB36" s="178">
        <f t="shared" si="29"/>
        <v>0.1275</v>
      </c>
      <c r="AC36" s="181">
        <f t="shared" si="30"/>
        <v>4.0999999999999996</v>
      </c>
      <c r="AD36" s="181">
        <f t="shared" ref="AD36:AN49" si="43">($AC36-($AC36-AD$18*$AA36))</f>
        <v>1.2982985</v>
      </c>
      <c r="AE36" s="181">
        <f t="shared" si="43"/>
        <v>1.1616355</v>
      </c>
      <c r="AF36" s="181">
        <f t="shared" si="43"/>
        <v>1.0249725000000001</v>
      </c>
      <c r="AG36" s="181">
        <f t="shared" si="43"/>
        <v>0.88830950000000009</v>
      </c>
      <c r="AH36" s="181">
        <f t="shared" si="43"/>
        <v>0.75164650000000011</v>
      </c>
      <c r="AI36" s="181">
        <f t="shared" si="43"/>
        <v>0.61498350000000013</v>
      </c>
      <c r="AJ36" s="181">
        <f t="shared" si="43"/>
        <v>0.47832050000000015</v>
      </c>
      <c r="AK36" s="181">
        <f t="shared" si="43"/>
        <v>0.34165750000000017</v>
      </c>
      <c r="AL36" s="181">
        <f t="shared" si="43"/>
        <v>0.20499450000000019</v>
      </c>
      <c r="AM36" s="181">
        <f t="shared" si="43"/>
        <v>6.8331500000000212E-2</v>
      </c>
      <c r="AN36" s="181">
        <f t="shared" si="43"/>
        <v>0</v>
      </c>
      <c r="AO36" s="168">
        <f t="shared" si="31"/>
        <v>0.13666300000000001</v>
      </c>
      <c r="AP36" s="181">
        <f t="shared" si="32"/>
        <v>1.2391300000000001</v>
      </c>
      <c r="AQ36" s="181">
        <f t="shared" si="4"/>
        <v>128.07130795847752</v>
      </c>
      <c r="AR36" s="181">
        <f t="shared" si="4"/>
        <v>102.52800000000001</v>
      </c>
      <c r="AS36" s="181">
        <f t="shared" si="4"/>
        <v>79.822837370242226</v>
      </c>
      <c r="AT36" s="181">
        <f t="shared" si="4"/>
        <v>59.955820069204165</v>
      </c>
      <c r="AU36" s="181">
        <f t="shared" si="4"/>
        <v>42.926948096885823</v>
      </c>
      <c r="AV36" s="181">
        <f t="shared" si="4"/>
        <v>28.736221453287211</v>
      </c>
      <c r="AW36" s="181">
        <f t="shared" si="4"/>
        <v>17.383640138408317</v>
      </c>
      <c r="AX36" s="181">
        <f t="shared" si="4"/>
        <v>8.8692041522491429</v>
      </c>
      <c r="AY36" s="181">
        <f t="shared" si="4"/>
        <v>3.1929134948096949</v>
      </c>
      <c r="AZ36" s="181">
        <f t="shared" si="4"/>
        <v>0.35476816608996764</v>
      </c>
      <c r="BA36" s="181">
        <f t="shared" si="4"/>
        <v>0</v>
      </c>
      <c r="BB36" s="181">
        <f t="shared" si="33"/>
        <v>2.9171015265882358</v>
      </c>
      <c r="BC36" s="181">
        <f t="shared" si="33"/>
        <v>2.3352973440000002</v>
      </c>
      <c r="BD36" s="181">
        <f t="shared" si="33"/>
        <v>1.8181380705882357</v>
      </c>
      <c r="BE36" s="181">
        <f t="shared" si="33"/>
        <v>1.3656237063529415</v>
      </c>
      <c r="BF36" s="181">
        <f t="shared" si="33"/>
        <v>0.97775425129411797</v>
      </c>
      <c r="BG36" s="181">
        <f t="shared" si="33"/>
        <v>0.65452970541176503</v>
      </c>
      <c r="BH36" s="181">
        <f t="shared" si="33"/>
        <v>0.39595006870588267</v>
      </c>
      <c r="BI36" s="181">
        <f t="shared" si="33"/>
        <v>0.20201534117647077</v>
      </c>
      <c r="BJ36" s="181">
        <f t="shared" si="33"/>
        <v>7.2725522823529565E-2</v>
      </c>
      <c r="BK36" s="181">
        <f t="shared" si="33"/>
        <v>8.0806136470588756E-3</v>
      </c>
      <c r="BL36" s="181">
        <f t="shared" si="33"/>
        <v>0</v>
      </c>
      <c r="BM36" s="191">
        <f t="shared" si="34"/>
        <v>10.747216150588239</v>
      </c>
      <c r="BN36" s="191">
        <f t="shared" si="6"/>
        <v>0.1726005216759359</v>
      </c>
      <c r="BO36" s="191">
        <f t="shared" si="7"/>
        <v>-0.18097270002460808</v>
      </c>
      <c r="BP36" s="191">
        <f t="shared" si="8"/>
        <v>-0.3893679038520001</v>
      </c>
      <c r="BQ36" s="191">
        <f t="shared" si="9"/>
        <v>-0.4790887914745921</v>
      </c>
      <c r="BR36" s="191">
        <f t="shared" si="10"/>
        <v>-0.47663906456073613</v>
      </c>
      <c r="BS36" s="191">
        <f t="shared" si="11"/>
        <v>-0.40852242477878414</v>
      </c>
      <c r="BT36" s="191">
        <f t="shared" si="12"/>
        <v>-0.30124257379708819</v>
      </c>
      <c r="BU36" s="191">
        <f t="shared" si="13"/>
        <v>-0.18130321328400015</v>
      </c>
      <c r="BV36" s="191">
        <f t="shared" si="14"/>
        <v>-7.5208044907872154E-2</v>
      </c>
      <c r="BW36" s="191">
        <f t="shared" si="15"/>
        <v>-9.4607703370560604E-3</v>
      </c>
      <c r="BX36" s="191">
        <f t="shared" si="16"/>
        <v>0</v>
      </c>
      <c r="BY36" s="191">
        <f t="shared" si="35"/>
        <v>-2.3292049653408009</v>
      </c>
      <c r="CH36" s="178">
        <f t="shared" si="17"/>
        <v>2.1249999999999998E-2</v>
      </c>
      <c r="CI36" s="181">
        <f t="shared" si="18"/>
        <v>0.20652166666666666</v>
      </c>
      <c r="CJ36" s="182">
        <f t="shared" si="36"/>
        <v>2.1249999999999998E-2</v>
      </c>
      <c r="CK36" s="162">
        <f t="shared" si="37"/>
        <v>0.10326083333333333</v>
      </c>
      <c r="CL36" s="181">
        <f t="shared" si="38"/>
        <v>0.12451083333333332</v>
      </c>
      <c r="CM36" s="180">
        <f t="shared" si="19"/>
        <v>3.8857059589933483E-2</v>
      </c>
      <c r="CN36" s="180">
        <f t="shared" si="20"/>
        <v>0.18881940490068344</v>
      </c>
      <c r="CO36" s="180">
        <f t="shared" si="21"/>
        <v>0.2276764644906169</v>
      </c>
      <c r="CP36" s="183">
        <f t="shared" si="22"/>
        <v>2.4771375488582595E-3</v>
      </c>
      <c r="CQ36" s="183">
        <f t="shared" si="23"/>
        <v>-7.7990596398194625E-2</v>
      </c>
      <c r="CR36" s="186">
        <f t="shared" si="39"/>
        <v>-7.5513458849336371E-2</v>
      </c>
      <c r="CS36" s="180">
        <f>SUM($CR$19:CR36)</f>
        <v>-0.972137763570878</v>
      </c>
      <c r="CT36" s="181">
        <f t="shared" si="24"/>
        <v>10.769648235891106</v>
      </c>
      <c r="CU36" s="181">
        <f t="shared" si="25"/>
        <v>-3.5719695081452181</v>
      </c>
      <c r="CV36" s="188">
        <f t="shared" si="40"/>
        <v>64.483296903529435</v>
      </c>
      <c r="CW36" s="188">
        <f t="shared" si="41"/>
        <v>-2.3292049653408009</v>
      </c>
    </row>
    <row r="37" spans="1:101" s="77" customFormat="1" ht="12.75" x14ac:dyDescent="0.2">
      <c r="A37" s="79" t="s">
        <v>137</v>
      </c>
      <c r="E37" s="73"/>
      <c r="F37" s="84"/>
      <c r="G37" s="73"/>
      <c r="H37" s="84"/>
      <c r="J37" s="173">
        <v>0.15</v>
      </c>
      <c r="K37" s="77" t="s">
        <v>136</v>
      </c>
      <c r="L37" s="157"/>
      <c r="M37" s="156"/>
      <c r="N37" s="156"/>
      <c r="O37" s="156"/>
      <c r="P37" s="156"/>
      <c r="Q37" s="156"/>
      <c r="R37" s="156"/>
      <c r="S37" s="156"/>
      <c r="T37" s="156"/>
      <c r="U37" s="157"/>
      <c r="V37" s="88"/>
      <c r="W37" s="88">
        <v>18</v>
      </c>
      <c r="X37" s="178">
        <f t="shared" si="42"/>
        <v>2.8333333333333326</v>
      </c>
      <c r="Y37" s="84">
        <f t="shared" si="26"/>
        <v>2.9999999999999991</v>
      </c>
      <c r="Z37" s="84">
        <f t="shared" si="27"/>
        <v>2.9166666666666661</v>
      </c>
      <c r="AA37" s="178">
        <f t="shared" si="28"/>
        <v>1.3888499999999999</v>
      </c>
      <c r="AB37" s="178">
        <f t="shared" si="29"/>
        <v>0.12916666666666665</v>
      </c>
      <c r="AC37" s="181">
        <f t="shared" si="30"/>
        <v>4.1666666666666661</v>
      </c>
      <c r="AD37" s="181">
        <f t="shared" si="43"/>
        <v>1.3194074999999996</v>
      </c>
      <c r="AE37" s="181">
        <f t="shared" si="43"/>
        <v>1.1805224999999999</v>
      </c>
      <c r="AF37" s="181">
        <f t="shared" si="43"/>
        <v>1.0416375000000002</v>
      </c>
      <c r="AG37" s="181">
        <f t="shared" si="43"/>
        <v>0.90275250000000007</v>
      </c>
      <c r="AH37" s="181">
        <f t="shared" si="43"/>
        <v>0.76386749999999992</v>
      </c>
      <c r="AI37" s="181">
        <f t="shared" si="43"/>
        <v>0.62498250000000022</v>
      </c>
      <c r="AJ37" s="181">
        <f t="shared" si="43"/>
        <v>0.48609750000000007</v>
      </c>
      <c r="AK37" s="181">
        <f t="shared" si="43"/>
        <v>0.34721250000000037</v>
      </c>
      <c r="AL37" s="181">
        <f t="shared" si="43"/>
        <v>0.20832750000000022</v>
      </c>
      <c r="AM37" s="181">
        <f t="shared" si="43"/>
        <v>6.9442500000000074E-2</v>
      </c>
      <c r="AN37" s="181">
        <f t="shared" si="43"/>
        <v>0</v>
      </c>
      <c r="AO37" s="168">
        <f t="shared" si="31"/>
        <v>0.13888499999999998</v>
      </c>
      <c r="AP37" s="181">
        <f t="shared" si="32"/>
        <v>1.2596833333333333</v>
      </c>
      <c r="AQ37" s="181">
        <f t="shared" si="4"/>
        <v>128.07130795847746</v>
      </c>
      <c r="AR37" s="181">
        <f t="shared" si="4"/>
        <v>102.52800000000001</v>
      </c>
      <c r="AS37" s="181">
        <f t="shared" si="4"/>
        <v>79.822837370242269</v>
      </c>
      <c r="AT37" s="181">
        <f t="shared" si="4"/>
        <v>59.955820069204179</v>
      </c>
      <c r="AU37" s="181">
        <f t="shared" si="4"/>
        <v>42.926948096885809</v>
      </c>
      <c r="AV37" s="181">
        <f t="shared" si="4"/>
        <v>28.736221453287222</v>
      </c>
      <c r="AW37" s="181">
        <f t="shared" si="4"/>
        <v>17.383640138408317</v>
      </c>
      <c r="AX37" s="181">
        <f t="shared" si="4"/>
        <v>8.8692041522491554</v>
      </c>
      <c r="AY37" s="181">
        <f t="shared" si="4"/>
        <v>3.1929134948096958</v>
      </c>
      <c r="AZ37" s="181">
        <f t="shared" si="4"/>
        <v>0.35476816608996625</v>
      </c>
      <c r="BA37" s="181">
        <f t="shared" si="4"/>
        <v>0</v>
      </c>
      <c r="BB37" s="181">
        <f t="shared" si="33"/>
        <v>2.9645306009688563</v>
      </c>
      <c r="BC37" s="181">
        <f t="shared" si="33"/>
        <v>2.3732668799999996</v>
      </c>
      <c r="BD37" s="181">
        <f t="shared" si="33"/>
        <v>1.8476991280276824</v>
      </c>
      <c r="BE37" s="181">
        <f t="shared" si="33"/>
        <v>1.3878273450519034</v>
      </c>
      <c r="BF37" s="181">
        <f t="shared" si="33"/>
        <v>0.99365153107266402</v>
      </c>
      <c r="BG37" s="181">
        <f t="shared" si="33"/>
        <v>0.6651716860899658</v>
      </c>
      <c r="BH37" s="181">
        <f t="shared" si="33"/>
        <v>0.40238781010380642</v>
      </c>
      <c r="BI37" s="181">
        <f t="shared" si="33"/>
        <v>0.20529990311418728</v>
      </c>
      <c r="BJ37" s="181">
        <f t="shared" si="33"/>
        <v>7.3907965121107422E-2</v>
      </c>
      <c r="BK37" s="181">
        <f t="shared" si="33"/>
        <v>8.2119961245674927E-3</v>
      </c>
      <c r="BL37" s="181">
        <f t="shared" si="33"/>
        <v>0</v>
      </c>
      <c r="BM37" s="191">
        <f t="shared" si="34"/>
        <v>10.921954845674742</v>
      </c>
      <c r="BN37" s="191">
        <f t="shared" si="6"/>
        <v>0.17705411970069654</v>
      </c>
      <c r="BO37" s="191">
        <f t="shared" si="7"/>
        <v>-0.1878697839432</v>
      </c>
      <c r="BP37" s="191">
        <f t="shared" si="8"/>
        <v>-0.40288309612006884</v>
      </c>
      <c r="BQ37" s="191">
        <f t="shared" si="9"/>
        <v>-0.49535837079216322</v>
      </c>
      <c r="BR37" s="191">
        <f t="shared" si="10"/>
        <v>-0.49266816192173546</v>
      </c>
      <c r="BS37" s="191">
        <f t="shared" si="11"/>
        <v>-0.42218502347103953</v>
      </c>
      <c r="BT37" s="191">
        <f t="shared" si="12"/>
        <v>-0.31128150940232813</v>
      </c>
      <c r="BU37" s="191">
        <f t="shared" si="13"/>
        <v>-0.18733017367785498</v>
      </c>
      <c r="BV37" s="191">
        <f t="shared" si="14"/>
        <v>-7.7703570259872803E-2</v>
      </c>
      <c r="BW37" s="191">
        <f t="shared" si="15"/>
        <v>-9.7742531106353153E-3</v>
      </c>
      <c r="BX37" s="191">
        <f t="shared" si="16"/>
        <v>0</v>
      </c>
      <c r="BY37" s="191">
        <f t="shared" si="35"/>
        <v>-2.4099998229982016</v>
      </c>
      <c r="CH37" s="178">
        <f t="shared" si="17"/>
        <v>2.1527777777777774E-2</v>
      </c>
      <c r="CI37" s="181">
        <f t="shared" si="18"/>
        <v>0.2099472222222222</v>
      </c>
      <c r="CJ37" s="182">
        <f t="shared" si="36"/>
        <v>2.1527777777777774E-2</v>
      </c>
      <c r="CK37" s="162">
        <f t="shared" si="37"/>
        <v>0.1049736111111111</v>
      </c>
      <c r="CL37" s="181">
        <f t="shared" si="38"/>
        <v>0.12650138888888887</v>
      </c>
      <c r="CM37" s="180">
        <f t="shared" si="19"/>
        <v>3.936499500940973E-2</v>
      </c>
      <c r="CN37" s="180">
        <f t="shared" si="20"/>
        <v>0.19195133469717401</v>
      </c>
      <c r="CO37" s="180">
        <f t="shared" si="21"/>
        <v>0.23131632970658375</v>
      </c>
      <c r="CP37" s="183">
        <f t="shared" si="22"/>
        <v>2.5423225943577116E-3</v>
      </c>
      <c r="CQ37" s="183">
        <f t="shared" si="23"/>
        <v>-8.0599299043039488E-2</v>
      </c>
      <c r="CR37" s="186">
        <f t="shared" si="39"/>
        <v>-7.8056976448681772E-2</v>
      </c>
      <c r="CS37" s="180">
        <f>SUM($CR$19:CR37)</f>
        <v>-1.0501947400195597</v>
      </c>
      <c r="CT37" s="181">
        <f t="shared" si="24"/>
        <v>10.941822676888869</v>
      </c>
      <c r="CU37" s="181">
        <f t="shared" si="25"/>
        <v>-3.6922840513635276</v>
      </c>
      <c r="CV37" s="188">
        <f t="shared" si="40"/>
        <v>65.531729074048457</v>
      </c>
      <c r="CW37" s="188">
        <f t="shared" si="41"/>
        <v>-2.4099998229982016</v>
      </c>
    </row>
    <row r="38" spans="1:101" s="77" customFormat="1" ht="12.75" x14ac:dyDescent="0.2">
      <c r="A38" s="173">
        <v>0.1</v>
      </c>
      <c r="B38" s="77" t="s">
        <v>136</v>
      </c>
      <c r="E38" s="73"/>
      <c r="F38" s="84"/>
      <c r="G38" s="73"/>
      <c r="H38" s="84"/>
      <c r="K38" s="79"/>
      <c r="L38" s="157"/>
      <c r="M38" s="156"/>
      <c r="N38" s="156"/>
      <c r="O38" s="156"/>
      <c r="P38" s="156"/>
      <c r="Q38" s="156"/>
      <c r="R38" s="156"/>
      <c r="S38" s="156"/>
      <c r="T38" s="156"/>
      <c r="U38" s="157"/>
      <c r="V38" s="88"/>
      <c r="W38" s="88">
        <v>19</v>
      </c>
      <c r="X38" s="178">
        <f t="shared" si="42"/>
        <v>2.9999999999999991</v>
      </c>
      <c r="Y38" s="84">
        <f t="shared" si="26"/>
        <v>3.1666666666666656</v>
      </c>
      <c r="Z38" s="84">
        <f t="shared" si="27"/>
        <v>3.0833333333333321</v>
      </c>
      <c r="AA38" s="178">
        <f t="shared" si="28"/>
        <v>1.41107</v>
      </c>
      <c r="AB38" s="178">
        <f t="shared" si="29"/>
        <v>0.13083333333333333</v>
      </c>
      <c r="AC38" s="181">
        <f t="shared" si="30"/>
        <v>4.2333333333333325</v>
      </c>
      <c r="AD38" s="181">
        <f t="shared" si="43"/>
        <v>1.3405164999999997</v>
      </c>
      <c r="AE38" s="181">
        <f t="shared" si="43"/>
        <v>1.1994094999999998</v>
      </c>
      <c r="AF38" s="181">
        <f t="shared" si="43"/>
        <v>1.0583024999999999</v>
      </c>
      <c r="AG38" s="181">
        <f t="shared" si="43"/>
        <v>0.91719550000000005</v>
      </c>
      <c r="AH38" s="181">
        <f t="shared" si="43"/>
        <v>0.77608850000000018</v>
      </c>
      <c r="AI38" s="181">
        <f t="shared" si="43"/>
        <v>0.63498150000000031</v>
      </c>
      <c r="AJ38" s="181">
        <f t="shared" si="43"/>
        <v>0.49387449999999999</v>
      </c>
      <c r="AK38" s="181">
        <f t="shared" si="43"/>
        <v>0.35276750000000012</v>
      </c>
      <c r="AL38" s="181">
        <f t="shared" si="43"/>
        <v>0.21166049999999981</v>
      </c>
      <c r="AM38" s="181">
        <f t="shared" si="43"/>
        <v>7.0553499999999936E-2</v>
      </c>
      <c r="AN38" s="181">
        <f t="shared" si="43"/>
        <v>0</v>
      </c>
      <c r="AO38" s="168">
        <f t="shared" si="31"/>
        <v>0.14110700000000001</v>
      </c>
      <c r="AP38" s="181">
        <f t="shared" si="32"/>
        <v>1.2802366666666667</v>
      </c>
      <c r="AQ38" s="181">
        <f t="shared" si="4"/>
        <v>128.07130795847746</v>
      </c>
      <c r="AR38" s="181">
        <f t="shared" si="4"/>
        <v>102.52799999999998</v>
      </c>
      <c r="AS38" s="181">
        <f t="shared" si="4"/>
        <v>79.822837370242198</v>
      </c>
      <c r="AT38" s="181">
        <f t="shared" si="4"/>
        <v>59.955820069204165</v>
      </c>
      <c r="AU38" s="181">
        <f t="shared" si="4"/>
        <v>42.926948096885837</v>
      </c>
      <c r="AV38" s="181">
        <f t="shared" si="4"/>
        <v>28.736221453287222</v>
      </c>
      <c r="AW38" s="181">
        <f t="shared" si="4"/>
        <v>17.383640138408303</v>
      </c>
      <c r="AX38" s="181">
        <f t="shared" si="4"/>
        <v>8.8692041522491394</v>
      </c>
      <c r="AY38" s="181">
        <f t="shared" si="4"/>
        <v>3.1929134948096829</v>
      </c>
      <c r="AZ38" s="181">
        <f t="shared" si="4"/>
        <v>0.35476816608996475</v>
      </c>
      <c r="BA38" s="181">
        <f t="shared" si="4"/>
        <v>0</v>
      </c>
      <c r="BB38" s="181">
        <f t="shared" si="33"/>
        <v>3.0119596753494799</v>
      </c>
      <c r="BC38" s="181">
        <f t="shared" si="33"/>
        <v>2.4112364159999995</v>
      </c>
      <c r="BD38" s="181">
        <f t="shared" si="33"/>
        <v>1.8772601854671278</v>
      </c>
      <c r="BE38" s="181">
        <f t="shared" si="33"/>
        <v>1.4100309837508656</v>
      </c>
      <c r="BF38" s="181">
        <f t="shared" si="33"/>
        <v>1.0095488108512116</v>
      </c>
      <c r="BG38" s="181">
        <f t="shared" si="33"/>
        <v>0.67581366676816668</v>
      </c>
      <c r="BH38" s="181">
        <f t="shared" si="33"/>
        <v>0.40882555150173011</v>
      </c>
      <c r="BI38" s="181">
        <f t="shared" si="33"/>
        <v>0.20858446505190323</v>
      </c>
      <c r="BJ38" s="181">
        <f t="shared" si="33"/>
        <v>7.5090407418684987E-2</v>
      </c>
      <c r="BK38" s="181">
        <f t="shared" si="33"/>
        <v>8.3433786020761097E-3</v>
      </c>
      <c r="BL38" s="181">
        <f t="shared" si="33"/>
        <v>0</v>
      </c>
      <c r="BM38" s="191">
        <f t="shared" si="34"/>
        <v>11.096693540761244</v>
      </c>
      <c r="BN38" s="191">
        <f t="shared" si="6"/>
        <v>0.18156042723678636</v>
      </c>
      <c r="BO38" s="191">
        <f t="shared" si="7"/>
        <v>-0.1948934076687685</v>
      </c>
      <c r="BP38" s="191">
        <f t="shared" si="8"/>
        <v>-0.41662817487815929</v>
      </c>
      <c r="BQ38" s="191">
        <f t="shared" si="9"/>
        <v>-0.51189929337706186</v>
      </c>
      <c r="BR38" s="191">
        <f t="shared" si="10"/>
        <v>-0.50896218215115163</v>
      </c>
      <c r="BS38" s="191">
        <f t="shared" si="11"/>
        <v>-0.43607226018610434</v>
      </c>
      <c r="BT38" s="191">
        <f t="shared" si="12"/>
        <v>-0.3214849464675954</v>
      </c>
      <c r="BU38" s="191">
        <f t="shared" si="13"/>
        <v>-0.19345565998130113</v>
      </c>
      <c r="BV38" s="191">
        <f t="shared" si="14"/>
        <v>-8.0239819712896648E-2</v>
      </c>
      <c r="BW38" s="191">
        <f t="shared" si="15"/>
        <v>-1.0092844648058336E-2</v>
      </c>
      <c r="BX38" s="191">
        <f t="shared" si="16"/>
        <v>0</v>
      </c>
      <c r="BY38" s="191">
        <f t="shared" si="35"/>
        <v>-2.4921681618343112</v>
      </c>
      <c r="CH38" s="178">
        <f t="shared" si="17"/>
        <v>2.1805555555555554E-2</v>
      </c>
      <c r="CI38" s="181">
        <f t="shared" si="18"/>
        <v>0.21337277777777777</v>
      </c>
      <c r="CJ38" s="182">
        <f t="shared" si="36"/>
        <v>2.1805555555555554E-2</v>
      </c>
      <c r="CK38" s="162">
        <f t="shared" si="37"/>
        <v>0.10668638888888889</v>
      </c>
      <c r="CL38" s="181">
        <f t="shared" si="38"/>
        <v>0.12849194444444445</v>
      </c>
      <c r="CM38" s="180">
        <f t="shared" si="19"/>
        <v>3.987293042888599E-2</v>
      </c>
      <c r="CN38" s="180">
        <f t="shared" si="20"/>
        <v>0.19508326449366462</v>
      </c>
      <c r="CO38" s="180">
        <f t="shared" si="21"/>
        <v>0.23495619492255063</v>
      </c>
      <c r="CP38" s="183">
        <f t="shared" si="22"/>
        <v>2.608354198889625E-3</v>
      </c>
      <c r="CQ38" s="183">
        <f t="shared" si="23"/>
        <v>-8.3250916085940291E-2</v>
      </c>
      <c r="CR38" s="186">
        <f t="shared" si="39"/>
        <v>-8.0642561887050671E-2</v>
      </c>
      <c r="CS38" s="180">
        <f>SUM($CR$19:CR38)</f>
        <v>-1.1308373019066105</v>
      </c>
      <c r="CT38" s="181">
        <f t="shared" si="24"/>
        <v>11.113997117886631</v>
      </c>
      <c r="CU38" s="181">
        <f t="shared" si="25"/>
        <v>-3.8145885052620678</v>
      </c>
      <c r="CV38" s="188">
        <f t="shared" si="40"/>
        <v>66.580161244567464</v>
      </c>
      <c r="CW38" s="188">
        <f t="shared" si="41"/>
        <v>-2.4921681618343112</v>
      </c>
    </row>
    <row r="39" spans="1:101" s="77" customFormat="1" ht="12.75" x14ac:dyDescent="0.2">
      <c r="A39" s="73"/>
      <c r="E39" s="80"/>
      <c r="I39" s="73"/>
      <c r="J39" s="73"/>
      <c r="K39" s="73"/>
      <c r="L39" s="157"/>
      <c r="M39" s="156"/>
      <c r="N39" s="156"/>
      <c r="O39" s="156"/>
      <c r="P39" s="156"/>
      <c r="Q39" s="156"/>
      <c r="R39" s="156"/>
      <c r="S39" s="156"/>
      <c r="T39" s="156"/>
      <c r="U39" s="157"/>
      <c r="V39" s="88"/>
      <c r="W39" s="88">
        <v>20</v>
      </c>
      <c r="X39" s="178">
        <f t="shared" si="42"/>
        <v>3.1666666666666656</v>
      </c>
      <c r="Y39" s="84">
        <f t="shared" si="26"/>
        <v>3.3333333333333321</v>
      </c>
      <c r="Z39" s="84">
        <f t="shared" si="27"/>
        <v>3.2499999999999991</v>
      </c>
      <c r="AA39" s="178">
        <f t="shared" si="28"/>
        <v>1.43329</v>
      </c>
      <c r="AB39" s="178">
        <f t="shared" si="29"/>
        <v>0.13250000000000001</v>
      </c>
      <c r="AC39" s="181">
        <f t="shared" si="30"/>
        <v>4.3</v>
      </c>
      <c r="AD39" s="181">
        <f t="shared" si="43"/>
        <v>1.3616254999999997</v>
      </c>
      <c r="AE39" s="181">
        <f t="shared" si="43"/>
        <v>1.2182965000000001</v>
      </c>
      <c r="AF39" s="181">
        <f t="shared" si="43"/>
        <v>1.0749675000000001</v>
      </c>
      <c r="AG39" s="181">
        <f t="shared" si="43"/>
        <v>0.93163850000000004</v>
      </c>
      <c r="AH39" s="181">
        <f t="shared" si="43"/>
        <v>0.7883095</v>
      </c>
      <c r="AI39" s="181">
        <f t="shared" si="43"/>
        <v>0.64498049999999996</v>
      </c>
      <c r="AJ39" s="181">
        <f t="shared" si="43"/>
        <v>0.50165150000000036</v>
      </c>
      <c r="AK39" s="181">
        <f t="shared" si="43"/>
        <v>0.35832250000000032</v>
      </c>
      <c r="AL39" s="181">
        <f t="shared" si="43"/>
        <v>0.21499350000000028</v>
      </c>
      <c r="AM39" s="181">
        <f t="shared" si="43"/>
        <v>7.1664499999999798E-2</v>
      </c>
      <c r="AN39" s="181">
        <f t="shared" si="43"/>
        <v>0</v>
      </c>
      <c r="AO39" s="168">
        <f t="shared" si="31"/>
        <v>0.14332899999999998</v>
      </c>
      <c r="AP39" s="181">
        <f t="shared" si="32"/>
        <v>1.3007899999999999</v>
      </c>
      <c r="AQ39" s="181">
        <f t="shared" si="4"/>
        <v>128.07130795847749</v>
      </c>
      <c r="AR39" s="181">
        <f t="shared" si="4"/>
        <v>102.52800000000003</v>
      </c>
      <c r="AS39" s="181">
        <f t="shared" si="4"/>
        <v>79.822837370242254</v>
      </c>
      <c r="AT39" s="181">
        <f t="shared" si="4"/>
        <v>59.955820069204165</v>
      </c>
      <c r="AU39" s="181">
        <f t="shared" si="4"/>
        <v>42.926948096885823</v>
      </c>
      <c r="AV39" s="181">
        <f t="shared" si="4"/>
        <v>28.7362214532872</v>
      </c>
      <c r="AW39" s="181">
        <f t="shared" si="4"/>
        <v>17.383640138408332</v>
      </c>
      <c r="AX39" s="181">
        <f t="shared" si="4"/>
        <v>8.8692041522491518</v>
      </c>
      <c r="AY39" s="181">
        <f t="shared" si="4"/>
        <v>3.1929134948096971</v>
      </c>
      <c r="AZ39" s="181">
        <f t="shared" si="4"/>
        <v>0.35476816608996353</v>
      </c>
      <c r="BA39" s="181">
        <f t="shared" si="4"/>
        <v>0</v>
      </c>
      <c r="BB39" s="181">
        <f t="shared" si="33"/>
        <v>3.0593887497301027</v>
      </c>
      <c r="BC39" s="181">
        <f t="shared" si="33"/>
        <v>2.4492059520000002</v>
      </c>
      <c r="BD39" s="181">
        <f t="shared" si="33"/>
        <v>1.906821242906575</v>
      </c>
      <c r="BE39" s="181">
        <f t="shared" si="33"/>
        <v>1.432234622449827</v>
      </c>
      <c r="BF39" s="181">
        <f t="shared" si="33"/>
        <v>1.0254460906297578</v>
      </c>
      <c r="BG39" s="181">
        <f t="shared" si="33"/>
        <v>0.68645564744636667</v>
      </c>
      <c r="BH39" s="181">
        <f t="shared" si="33"/>
        <v>0.41526329289965452</v>
      </c>
      <c r="BI39" s="181">
        <f t="shared" si="33"/>
        <v>0.21186902698961974</v>
      </c>
      <c r="BJ39" s="181">
        <f t="shared" si="33"/>
        <v>7.6272849716263164E-2</v>
      </c>
      <c r="BK39" s="181">
        <f t="shared" si="33"/>
        <v>8.4747610795847285E-3</v>
      </c>
      <c r="BL39" s="181">
        <f t="shared" si="33"/>
        <v>0</v>
      </c>
      <c r="BM39" s="191">
        <f t="shared" si="34"/>
        <v>11.271432235847751</v>
      </c>
      <c r="BN39" s="191">
        <f t="shared" si="6"/>
        <v>0.1861194442842051</v>
      </c>
      <c r="BO39" s="191">
        <f t="shared" si="7"/>
        <v>-0.20204357120131147</v>
      </c>
      <c r="BP39" s="191">
        <f t="shared" si="8"/>
        <v>-0.43060314012626966</v>
      </c>
      <c r="BQ39" s="191">
        <f t="shared" si="9"/>
        <v>-0.52871155922928714</v>
      </c>
      <c r="BR39" s="191">
        <f t="shared" si="10"/>
        <v>-0.52552112524898342</v>
      </c>
      <c r="BS39" s="191">
        <f t="shared" si="11"/>
        <v>-0.45018413492397796</v>
      </c>
      <c r="BT39" s="191">
        <f t="shared" si="12"/>
        <v>-0.3318528849928904</v>
      </c>
      <c r="BU39" s="191">
        <f t="shared" si="13"/>
        <v>-0.19967967219433935</v>
      </c>
      <c r="BV39" s="191">
        <f t="shared" si="14"/>
        <v>-8.2816793266944508E-2</v>
      </c>
      <c r="BW39" s="191">
        <f t="shared" si="15"/>
        <v>-1.041654494932512E-2</v>
      </c>
      <c r="BX39" s="191">
        <f t="shared" si="16"/>
        <v>0</v>
      </c>
      <c r="BY39" s="191">
        <f t="shared" si="35"/>
        <v>-2.575709981849124</v>
      </c>
      <c r="CH39" s="178">
        <f t="shared" si="17"/>
        <v>2.2083333333333333E-2</v>
      </c>
      <c r="CI39" s="181">
        <f t="shared" si="18"/>
        <v>0.21679833333333332</v>
      </c>
      <c r="CJ39" s="182">
        <f t="shared" si="36"/>
        <v>2.2083333333333333E-2</v>
      </c>
      <c r="CK39" s="162">
        <f t="shared" si="37"/>
        <v>0.10839916666666666</v>
      </c>
      <c r="CL39" s="181">
        <f t="shared" si="38"/>
        <v>0.1304825</v>
      </c>
      <c r="CM39" s="180">
        <f t="shared" si="19"/>
        <v>4.038086584836225E-2</v>
      </c>
      <c r="CN39" s="180">
        <f t="shared" si="20"/>
        <v>0.19821519429015519</v>
      </c>
      <c r="CO39" s="180">
        <f t="shared" si="21"/>
        <v>0.23859606013851745</v>
      </c>
      <c r="CP39" s="183">
        <f t="shared" si="22"/>
        <v>2.6752323624539991E-3</v>
      </c>
      <c r="CQ39" s="183">
        <f t="shared" si="23"/>
        <v>-8.5945447526896979E-2</v>
      </c>
      <c r="CR39" s="186">
        <f t="shared" si="39"/>
        <v>-8.3270215164442982E-2</v>
      </c>
      <c r="CS39" s="180">
        <f>SUM($CR$19:CR39)</f>
        <v>-1.2141075170710534</v>
      </c>
      <c r="CT39" s="181">
        <f t="shared" si="24"/>
        <v>11.286171558884392</v>
      </c>
      <c r="CU39" s="181">
        <f t="shared" si="25"/>
        <v>-3.9388828698408358</v>
      </c>
      <c r="CV39" s="188">
        <f t="shared" si="40"/>
        <v>67.628593415086513</v>
      </c>
      <c r="CW39" s="188">
        <f t="shared" si="41"/>
        <v>-2.575709981849124</v>
      </c>
    </row>
    <row r="40" spans="1:101" s="77" customFormat="1" ht="12.75" x14ac:dyDescent="0.2">
      <c r="A40" s="83" t="s">
        <v>135</v>
      </c>
      <c r="B40" s="76"/>
      <c r="D40" s="73"/>
      <c r="E40" s="76"/>
      <c r="F40" s="111"/>
      <c r="G40" s="110"/>
      <c r="I40" s="73"/>
      <c r="J40" s="73"/>
      <c r="K40" s="83" t="s">
        <v>132</v>
      </c>
      <c r="L40" s="157"/>
      <c r="M40" s="156"/>
      <c r="N40" s="156"/>
      <c r="O40" s="156"/>
      <c r="P40" s="156"/>
      <c r="Q40" s="156"/>
      <c r="R40" s="156"/>
      <c r="S40" s="156"/>
      <c r="T40" s="156"/>
      <c r="U40" s="157"/>
      <c r="V40" s="88"/>
      <c r="W40" s="88">
        <v>21</v>
      </c>
      <c r="X40" s="178">
        <f t="shared" si="42"/>
        <v>3.3333333333333321</v>
      </c>
      <c r="Y40" s="84">
        <f t="shared" si="26"/>
        <v>3.4999999999999987</v>
      </c>
      <c r="Z40" s="84">
        <f t="shared" si="27"/>
        <v>3.4166666666666652</v>
      </c>
      <c r="AA40" s="178">
        <f t="shared" si="28"/>
        <v>1.4555099999999999</v>
      </c>
      <c r="AB40" s="178">
        <f t="shared" si="29"/>
        <v>0.13416666666666666</v>
      </c>
      <c r="AC40" s="181">
        <f t="shared" si="30"/>
        <v>4.3666666666666663</v>
      </c>
      <c r="AD40" s="181">
        <f t="shared" si="43"/>
        <v>1.3827344999999998</v>
      </c>
      <c r="AE40" s="181">
        <f t="shared" si="43"/>
        <v>1.2371834999999995</v>
      </c>
      <c r="AF40" s="181">
        <f t="shared" si="43"/>
        <v>1.0916324999999998</v>
      </c>
      <c r="AG40" s="181">
        <f t="shared" si="43"/>
        <v>0.94608150000000002</v>
      </c>
      <c r="AH40" s="181">
        <f t="shared" si="43"/>
        <v>0.80053049999999981</v>
      </c>
      <c r="AI40" s="181">
        <f t="shared" si="43"/>
        <v>0.65497950000000005</v>
      </c>
      <c r="AJ40" s="181">
        <f t="shared" si="43"/>
        <v>0.50942850000000028</v>
      </c>
      <c r="AK40" s="181">
        <f t="shared" si="43"/>
        <v>0.36387750000000008</v>
      </c>
      <c r="AL40" s="181">
        <f t="shared" si="43"/>
        <v>0.21832649999999987</v>
      </c>
      <c r="AM40" s="181">
        <f t="shared" si="43"/>
        <v>7.2775500000000548E-2</v>
      </c>
      <c r="AN40" s="181">
        <f t="shared" si="43"/>
        <v>0</v>
      </c>
      <c r="AO40" s="168">
        <f t="shared" si="31"/>
        <v>0.14555099999999999</v>
      </c>
      <c r="AP40" s="181">
        <f t="shared" si="32"/>
        <v>1.3213433333333331</v>
      </c>
      <c r="AQ40" s="181">
        <f t="shared" si="4"/>
        <v>128.07130795847752</v>
      </c>
      <c r="AR40" s="181">
        <f t="shared" si="4"/>
        <v>102.52799999999995</v>
      </c>
      <c r="AS40" s="181">
        <f t="shared" si="4"/>
        <v>79.822837370242198</v>
      </c>
      <c r="AT40" s="181">
        <f t="shared" si="4"/>
        <v>59.955820069204165</v>
      </c>
      <c r="AU40" s="181">
        <f t="shared" si="4"/>
        <v>42.926948096885809</v>
      </c>
      <c r="AV40" s="181">
        <f t="shared" si="4"/>
        <v>28.736221453287211</v>
      </c>
      <c r="AW40" s="181">
        <f t="shared" si="4"/>
        <v>17.383640138408332</v>
      </c>
      <c r="AX40" s="181">
        <f t="shared" si="4"/>
        <v>8.8692041522491394</v>
      </c>
      <c r="AY40" s="181">
        <f t="shared" si="4"/>
        <v>3.1929134948096851</v>
      </c>
      <c r="AZ40" s="181">
        <f t="shared" si="4"/>
        <v>0.35476816608997092</v>
      </c>
      <c r="BA40" s="181">
        <f t="shared" si="4"/>
        <v>0</v>
      </c>
      <c r="BB40" s="181">
        <f t="shared" si="33"/>
        <v>3.1068178241107263</v>
      </c>
      <c r="BC40" s="181">
        <f t="shared" si="33"/>
        <v>2.4871754879999983</v>
      </c>
      <c r="BD40" s="181">
        <f t="shared" si="33"/>
        <v>1.9363823003460199</v>
      </c>
      <c r="BE40" s="181">
        <f t="shared" si="33"/>
        <v>1.4544382611487889</v>
      </c>
      <c r="BF40" s="181">
        <f t="shared" si="33"/>
        <v>1.0413433704083042</v>
      </c>
      <c r="BG40" s="181">
        <f t="shared" si="33"/>
        <v>0.69709762812456766</v>
      </c>
      <c r="BH40" s="181">
        <f t="shared" si="33"/>
        <v>0.42170103429757844</v>
      </c>
      <c r="BI40" s="181">
        <f t="shared" si="33"/>
        <v>0.21515358892733571</v>
      </c>
      <c r="BJ40" s="181">
        <f t="shared" si="33"/>
        <v>7.7455292013840729E-2</v>
      </c>
      <c r="BK40" s="181">
        <f t="shared" si="33"/>
        <v>8.6061435570935572E-3</v>
      </c>
      <c r="BL40" s="181">
        <f t="shared" si="33"/>
        <v>0</v>
      </c>
      <c r="BM40" s="191">
        <f t="shared" si="34"/>
        <v>11.446170930934255</v>
      </c>
      <c r="BN40" s="191">
        <f t="shared" si="6"/>
        <v>0.19073117084295227</v>
      </c>
      <c r="BO40" s="191">
        <f t="shared" si="7"/>
        <v>-0.20932027454083238</v>
      </c>
      <c r="BP40" s="191">
        <f t="shared" si="8"/>
        <v>-0.44480799186440112</v>
      </c>
      <c r="BQ40" s="191">
        <f t="shared" si="9"/>
        <v>-0.54579516834883957</v>
      </c>
      <c r="BR40" s="191">
        <f t="shared" si="10"/>
        <v>-0.54234499121523161</v>
      </c>
      <c r="BS40" s="191">
        <f t="shared" si="11"/>
        <v>-0.46452064768466117</v>
      </c>
      <c r="BT40" s="191">
        <f t="shared" si="12"/>
        <v>-0.34238532497821245</v>
      </c>
      <c r="BU40" s="191">
        <f t="shared" si="13"/>
        <v>-0.20600221031696886</v>
      </c>
      <c r="BV40" s="191">
        <f t="shared" si="14"/>
        <v>-8.5434490922015216E-2</v>
      </c>
      <c r="BW40" s="191">
        <f t="shared" si="15"/>
        <v>-1.0745354014435922E-2</v>
      </c>
      <c r="BX40" s="191">
        <f t="shared" si="16"/>
        <v>0</v>
      </c>
      <c r="BY40" s="191">
        <f t="shared" si="35"/>
        <v>-2.6606252830426462</v>
      </c>
      <c r="CH40" s="178">
        <f t="shared" si="17"/>
        <v>2.2361111111111109E-2</v>
      </c>
      <c r="CI40" s="181">
        <f t="shared" si="18"/>
        <v>0.22022388888888883</v>
      </c>
      <c r="CJ40" s="182">
        <f t="shared" si="36"/>
        <v>2.2361111111111109E-2</v>
      </c>
      <c r="CK40" s="162">
        <f t="shared" si="37"/>
        <v>0.11011194444444442</v>
      </c>
      <c r="CL40" s="181">
        <f t="shared" si="38"/>
        <v>0.13247305555555552</v>
      </c>
      <c r="CM40" s="180">
        <f t="shared" si="19"/>
        <v>4.0888801267838497E-2</v>
      </c>
      <c r="CN40" s="180">
        <f t="shared" si="20"/>
        <v>0.20134712408664573</v>
      </c>
      <c r="CO40" s="180">
        <f t="shared" si="21"/>
        <v>0.24223592535448424</v>
      </c>
      <c r="CP40" s="183">
        <f t="shared" si="22"/>
        <v>2.7429570850508321E-3</v>
      </c>
      <c r="CQ40" s="183">
        <f t="shared" si="23"/>
        <v>-8.8682893365909579E-2</v>
      </c>
      <c r="CR40" s="186">
        <f t="shared" si="39"/>
        <v>-8.5939936280858747E-2</v>
      </c>
      <c r="CS40" s="180">
        <f>SUM($CR$19:CR40)</f>
        <v>-1.3000474533519122</v>
      </c>
      <c r="CT40" s="181">
        <f t="shared" si="24"/>
        <v>11.458345999882152</v>
      </c>
      <c r="CU40" s="181">
        <f t="shared" si="25"/>
        <v>-4.0651671450998323</v>
      </c>
      <c r="CV40" s="188">
        <f t="shared" si="40"/>
        <v>68.677025585605534</v>
      </c>
      <c r="CW40" s="188">
        <f t="shared" si="41"/>
        <v>-2.6606252830426462</v>
      </c>
    </row>
    <row r="41" spans="1:101" s="77" customFormat="1" ht="12.75" x14ac:dyDescent="0.2">
      <c r="A41" s="83" t="s">
        <v>133</v>
      </c>
      <c r="B41" s="80"/>
      <c r="C41" s="95"/>
      <c r="D41" s="110"/>
      <c r="E41" s="80"/>
      <c r="F41" s="104"/>
      <c r="G41" s="73"/>
      <c r="I41" s="73"/>
      <c r="J41" s="73"/>
      <c r="K41" s="83" t="s">
        <v>133</v>
      </c>
      <c r="L41" s="157"/>
      <c r="M41" s="156"/>
      <c r="N41" s="156"/>
      <c r="O41" s="156"/>
      <c r="P41" s="156"/>
      <c r="Q41" s="156"/>
      <c r="R41" s="156"/>
      <c r="S41" s="156"/>
      <c r="T41" s="156"/>
      <c r="U41" s="157"/>
      <c r="V41" s="88"/>
      <c r="W41" s="88">
        <v>22</v>
      </c>
      <c r="X41" s="178">
        <f t="shared" si="42"/>
        <v>3.4999999999999987</v>
      </c>
      <c r="Y41" s="84">
        <f t="shared" si="26"/>
        <v>3.6666666666666652</v>
      </c>
      <c r="Z41" s="84">
        <f t="shared" si="27"/>
        <v>3.5833333333333321</v>
      </c>
      <c r="AA41" s="178">
        <f t="shared" si="28"/>
        <v>1.47773</v>
      </c>
      <c r="AB41" s="178">
        <f t="shared" si="29"/>
        <v>0.13583333333333331</v>
      </c>
      <c r="AC41" s="181">
        <f t="shared" si="30"/>
        <v>4.4333333333333327</v>
      </c>
      <c r="AD41" s="181">
        <f t="shared" si="43"/>
        <v>1.4038434999999998</v>
      </c>
      <c r="AE41" s="181">
        <f t="shared" si="43"/>
        <v>1.2560704999999999</v>
      </c>
      <c r="AF41" s="181">
        <f t="shared" si="43"/>
        <v>1.1082974999999999</v>
      </c>
      <c r="AG41" s="181">
        <f t="shared" si="43"/>
        <v>0.9605245</v>
      </c>
      <c r="AH41" s="181">
        <f t="shared" si="43"/>
        <v>0.81275150000000007</v>
      </c>
      <c r="AI41" s="181">
        <f t="shared" si="43"/>
        <v>0.66497850000000014</v>
      </c>
      <c r="AJ41" s="181">
        <f t="shared" si="43"/>
        <v>0.51720550000000021</v>
      </c>
      <c r="AK41" s="181">
        <f t="shared" si="43"/>
        <v>0.36943250000000027</v>
      </c>
      <c r="AL41" s="181">
        <f t="shared" si="43"/>
        <v>0.22165950000000034</v>
      </c>
      <c r="AM41" s="181">
        <f t="shared" si="43"/>
        <v>7.388650000000041E-2</v>
      </c>
      <c r="AN41" s="181">
        <f t="shared" si="43"/>
        <v>0</v>
      </c>
      <c r="AO41" s="168">
        <f t="shared" si="31"/>
        <v>0.14777299999999999</v>
      </c>
      <c r="AP41" s="181">
        <f t="shared" si="32"/>
        <v>1.3418966666666667</v>
      </c>
      <c r="AQ41" s="181">
        <f t="shared" si="4"/>
        <v>128.07130795847749</v>
      </c>
      <c r="AR41" s="181">
        <f t="shared" si="4"/>
        <v>102.52799999999998</v>
      </c>
      <c r="AS41" s="181">
        <f t="shared" si="4"/>
        <v>79.822837370242226</v>
      </c>
      <c r="AT41" s="181">
        <f t="shared" si="4"/>
        <v>59.955820069204165</v>
      </c>
      <c r="AU41" s="181">
        <f t="shared" si="4"/>
        <v>42.926948096885823</v>
      </c>
      <c r="AV41" s="181">
        <f t="shared" si="4"/>
        <v>28.736221453287214</v>
      </c>
      <c r="AW41" s="181">
        <f t="shared" si="4"/>
        <v>17.383640138408321</v>
      </c>
      <c r="AX41" s="181">
        <f t="shared" si="4"/>
        <v>8.8692041522491483</v>
      </c>
      <c r="AY41" s="181">
        <f t="shared" si="4"/>
        <v>3.1929134948096993</v>
      </c>
      <c r="AZ41" s="181">
        <f t="shared" si="4"/>
        <v>0.35476816608996942</v>
      </c>
      <c r="BA41" s="181">
        <f t="shared" si="4"/>
        <v>0</v>
      </c>
      <c r="BB41" s="181">
        <f t="shared" si="33"/>
        <v>3.1542468984913485</v>
      </c>
      <c r="BC41" s="181">
        <f t="shared" si="33"/>
        <v>2.5251450239999991</v>
      </c>
      <c r="BD41" s="181">
        <f t="shared" si="33"/>
        <v>1.965943357785467</v>
      </c>
      <c r="BE41" s="181">
        <f t="shared" si="33"/>
        <v>1.4766418998477508</v>
      </c>
      <c r="BF41" s="181">
        <f t="shared" si="33"/>
        <v>1.0572406501868512</v>
      </c>
      <c r="BG41" s="181">
        <f t="shared" si="33"/>
        <v>0.70773960880276843</v>
      </c>
      <c r="BH41" s="181">
        <f t="shared" si="33"/>
        <v>0.42813877569550207</v>
      </c>
      <c r="BI41" s="181">
        <f t="shared" si="33"/>
        <v>0.21843815086505219</v>
      </c>
      <c r="BJ41" s="181">
        <f t="shared" si="33"/>
        <v>7.8637734311418933E-2</v>
      </c>
      <c r="BK41" s="181">
        <f t="shared" si="33"/>
        <v>8.7375260346021742E-3</v>
      </c>
      <c r="BL41" s="181">
        <f t="shared" si="33"/>
        <v>0</v>
      </c>
      <c r="BM41" s="191">
        <f t="shared" si="34"/>
        <v>11.620909626020763</v>
      </c>
      <c r="BN41" s="191">
        <f t="shared" si="6"/>
        <v>0.19539560691302629</v>
      </c>
      <c r="BO41" s="191">
        <f t="shared" si="7"/>
        <v>-0.21672351768732842</v>
      </c>
      <c r="BP41" s="191">
        <f t="shared" si="8"/>
        <v>-0.4592427300925539</v>
      </c>
      <c r="BQ41" s="191">
        <f t="shared" si="9"/>
        <v>-0.56315012073571979</v>
      </c>
      <c r="BR41" s="191">
        <f t="shared" si="10"/>
        <v>-0.55943378004989641</v>
      </c>
      <c r="BS41" s="191">
        <f t="shared" si="11"/>
        <v>-0.4790817984681538</v>
      </c>
      <c r="BT41" s="191">
        <f t="shared" si="12"/>
        <v>-0.35308226642356183</v>
      </c>
      <c r="BU41" s="191">
        <f t="shared" si="13"/>
        <v>-0.21242327434919056</v>
      </c>
      <c r="BV41" s="191">
        <f t="shared" si="14"/>
        <v>-8.8092912678110036E-2</v>
      </c>
      <c r="BW41" s="191">
        <f t="shared" si="15"/>
        <v>-1.107927184339024E-2</v>
      </c>
      <c r="BX41" s="191">
        <f t="shared" si="16"/>
        <v>0</v>
      </c>
      <c r="BY41" s="191">
        <f t="shared" si="35"/>
        <v>-2.7469140654148787</v>
      </c>
      <c r="CH41" s="178">
        <f t="shared" si="17"/>
        <v>2.2638888888888882E-2</v>
      </c>
      <c r="CI41" s="181">
        <f t="shared" si="18"/>
        <v>0.22364944444444446</v>
      </c>
      <c r="CJ41" s="182">
        <f t="shared" si="36"/>
        <v>2.2638888888888882E-2</v>
      </c>
      <c r="CK41" s="162">
        <f t="shared" si="37"/>
        <v>0.11182472222222223</v>
      </c>
      <c r="CL41" s="181">
        <f t="shared" si="38"/>
        <v>0.1344636111111111</v>
      </c>
      <c r="CM41" s="180">
        <f t="shared" si="19"/>
        <v>4.1396736687314743E-2</v>
      </c>
      <c r="CN41" s="180">
        <f t="shared" si="20"/>
        <v>0.20447905388313639</v>
      </c>
      <c r="CO41" s="180">
        <f t="shared" si="21"/>
        <v>0.24587579057045111</v>
      </c>
      <c r="CP41" s="183">
        <f t="shared" si="22"/>
        <v>2.8115283666801257E-3</v>
      </c>
      <c r="CQ41" s="183">
        <f t="shared" si="23"/>
        <v>-9.1463253602978148E-2</v>
      </c>
      <c r="CR41" s="186">
        <f t="shared" si="39"/>
        <v>-8.8651725236298023E-2</v>
      </c>
      <c r="CS41" s="180">
        <f>SUM($CR$19:CR41)</f>
        <v>-1.3886991785882101</v>
      </c>
      <c r="CT41" s="181">
        <f t="shared" si="24"/>
        <v>11.630520440879915</v>
      </c>
      <c r="CU41" s="181">
        <f t="shared" si="25"/>
        <v>-4.193441331039061</v>
      </c>
      <c r="CV41" s="188">
        <f t="shared" si="40"/>
        <v>69.725457756124584</v>
      </c>
      <c r="CW41" s="188">
        <f t="shared" si="41"/>
        <v>-2.7469140654148787</v>
      </c>
    </row>
    <row r="42" spans="1:101" s="77" customFormat="1" ht="12.75" x14ac:dyDescent="0.2">
      <c r="A42" s="171" t="s">
        <v>134</v>
      </c>
      <c r="F42" s="104"/>
      <c r="G42" s="73"/>
      <c r="I42" s="73"/>
      <c r="J42" s="73"/>
      <c r="K42" s="171" t="s">
        <v>134</v>
      </c>
      <c r="L42" s="157"/>
      <c r="M42" s="156"/>
      <c r="N42" s="156"/>
      <c r="O42" s="156"/>
      <c r="P42" s="156"/>
      <c r="Q42" s="156"/>
      <c r="R42" s="156"/>
      <c r="S42" s="156"/>
      <c r="T42" s="156"/>
      <c r="U42" s="157"/>
      <c r="V42" s="88"/>
      <c r="W42" s="88">
        <v>23</v>
      </c>
      <c r="X42" s="178">
        <f t="shared" si="42"/>
        <v>3.6666666666666652</v>
      </c>
      <c r="Y42" s="84">
        <f t="shared" si="26"/>
        <v>3.8333333333333317</v>
      </c>
      <c r="Z42" s="84">
        <f t="shared" si="27"/>
        <v>3.7499999999999982</v>
      </c>
      <c r="AA42" s="178">
        <f t="shared" si="28"/>
        <v>1.4999499999999999</v>
      </c>
      <c r="AB42" s="178">
        <f t="shared" si="29"/>
        <v>0.13749999999999998</v>
      </c>
      <c r="AC42" s="181">
        <f t="shared" si="30"/>
        <v>4.4999999999999991</v>
      </c>
      <c r="AD42" s="181">
        <f t="shared" si="43"/>
        <v>1.4249524999999998</v>
      </c>
      <c r="AE42" s="181">
        <f t="shared" si="43"/>
        <v>1.2749575000000002</v>
      </c>
      <c r="AF42" s="181">
        <f t="shared" si="43"/>
        <v>1.1249624999999996</v>
      </c>
      <c r="AG42" s="181">
        <f t="shared" si="43"/>
        <v>0.97496749999999999</v>
      </c>
      <c r="AH42" s="181">
        <f t="shared" si="43"/>
        <v>0.82497249999999989</v>
      </c>
      <c r="AI42" s="181">
        <f t="shared" si="43"/>
        <v>0.67497749999999979</v>
      </c>
      <c r="AJ42" s="181">
        <f t="shared" si="43"/>
        <v>0.52498250000000013</v>
      </c>
      <c r="AK42" s="181">
        <f t="shared" si="43"/>
        <v>0.37498750000000047</v>
      </c>
      <c r="AL42" s="181">
        <f t="shared" si="43"/>
        <v>0.22499249999999993</v>
      </c>
      <c r="AM42" s="181">
        <f t="shared" si="43"/>
        <v>7.4997500000000272E-2</v>
      </c>
      <c r="AN42" s="181">
        <f t="shared" si="43"/>
        <v>0</v>
      </c>
      <c r="AO42" s="168">
        <f t="shared" si="31"/>
        <v>0.14999499999999999</v>
      </c>
      <c r="AP42" s="181">
        <f t="shared" si="32"/>
        <v>1.3624499999999999</v>
      </c>
      <c r="AQ42" s="181">
        <f t="shared" si="4"/>
        <v>128.07130795847752</v>
      </c>
      <c r="AR42" s="181">
        <f t="shared" si="4"/>
        <v>102.52800000000006</v>
      </c>
      <c r="AS42" s="181">
        <f t="shared" si="4"/>
        <v>79.822837370242169</v>
      </c>
      <c r="AT42" s="181">
        <f t="shared" si="4"/>
        <v>59.955820069204165</v>
      </c>
      <c r="AU42" s="181">
        <f t="shared" si="4"/>
        <v>42.926948096885809</v>
      </c>
      <c r="AV42" s="181">
        <f t="shared" si="4"/>
        <v>28.736221453287186</v>
      </c>
      <c r="AW42" s="181">
        <f t="shared" si="4"/>
        <v>17.383640138408317</v>
      </c>
      <c r="AX42" s="181">
        <f t="shared" si="4"/>
        <v>8.8692041522491589</v>
      </c>
      <c r="AY42" s="181">
        <f t="shared" si="4"/>
        <v>3.1929134948096873</v>
      </c>
      <c r="AZ42" s="181">
        <f t="shared" si="4"/>
        <v>0.35476816608996803</v>
      </c>
      <c r="BA42" s="181">
        <f t="shared" si="4"/>
        <v>0</v>
      </c>
      <c r="BB42" s="181">
        <f t="shared" si="33"/>
        <v>3.2016759728719721</v>
      </c>
      <c r="BC42" s="181">
        <f t="shared" si="33"/>
        <v>2.5631145600000012</v>
      </c>
      <c r="BD42" s="181">
        <f t="shared" si="33"/>
        <v>1.995504415224912</v>
      </c>
      <c r="BE42" s="181">
        <f t="shared" si="33"/>
        <v>1.498845538546713</v>
      </c>
      <c r="BF42" s="181">
        <f t="shared" si="33"/>
        <v>1.0731379299653976</v>
      </c>
      <c r="BG42" s="181">
        <f t="shared" si="33"/>
        <v>0.71838158948096842</v>
      </c>
      <c r="BH42" s="181">
        <f t="shared" si="33"/>
        <v>0.43457651709342587</v>
      </c>
      <c r="BI42" s="181">
        <f t="shared" si="33"/>
        <v>0.22172271280276873</v>
      </c>
      <c r="BJ42" s="181">
        <f t="shared" si="33"/>
        <v>7.9820176608996499E-2</v>
      </c>
      <c r="BK42" s="181">
        <f t="shared" si="33"/>
        <v>8.8689085121107913E-3</v>
      </c>
      <c r="BL42" s="181">
        <f t="shared" si="33"/>
        <v>0</v>
      </c>
      <c r="BM42" s="191">
        <f t="shared" si="34"/>
        <v>11.795648321107267</v>
      </c>
      <c r="BN42" s="191">
        <f t="shared" si="6"/>
        <v>0.20011275249443014</v>
      </c>
      <c r="BO42" s="191">
        <f t="shared" si="7"/>
        <v>-0.22425330064079946</v>
      </c>
      <c r="BP42" s="191">
        <f t="shared" si="8"/>
        <v>-0.47390735481072688</v>
      </c>
      <c r="BQ42" s="191">
        <f t="shared" si="9"/>
        <v>-0.58077641638992661</v>
      </c>
      <c r="BR42" s="191">
        <f t="shared" si="10"/>
        <v>-0.57678749175297706</v>
      </c>
      <c r="BS42" s="191">
        <f t="shared" si="11"/>
        <v>-0.49386758727445518</v>
      </c>
      <c r="BT42" s="191">
        <f t="shared" si="12"/>
        <v>-0.36394370932893855</v>
      </c>
      <c r="BU42" s="191">
        <f t="shared" si="13"/>
        <v>-0.2189428642910039</v>
      </c>
      <c r="BV42" s="191">
        <f t="shared" si="14"/>
        <v>-9.0792058535227635E-2</v>
      </c>
      <c r="BW42" s="191">
        <f t="shared" si="15"/>
        <v>-1.1418298436188315E-2</v>
      </c>
      <c r="BX42" s="191">
        <f t="shared" si="16"/>
        <v>0</v>
      </c>
      <c r="BY42" s="191">
        <f t="shared" si="35"/>
        <v>-2.8345763289658135</v>
      </c>
      <c r="CH42" s="178">
        <f t="shared" si="17"/>
        <v>2.2916666666666662E-2</v>
      </c>
      <c r="CI42" s="181">
        <f t="shared" si="18"/>
        <v>0.22707499999999997</v>
      </c>
      <c r="CJ42" s="182">
        <f t="shared" si="36"/>
        <v>2.2916666666666662E-2</v>
      </c>
      <c r="CK42" s="162">
        <f t="shared" si="37"/>
        <v>0.11353749999999999</v>
      </c>
      <c r="CL42" s="181">
        <f t="shared" si="38"/>
        <v>0.13645416666666665</v>
      </c>
      <c r="CM42" s="180">
        <f t="shared" si="19"/>
        <v>4.1904672106791004E-2</v>
      </c>
      <c r="CN42" s="180">
        <f t="shared" si="20"/>
        <v>0.20761098367962694</v>
      </c>
      <c r="CO42" s="180">
        <f t="shared" si="21"/>
        <v>0.24951565578641796</v>
      </c>
      <c r="CP42" s="183">
        <f t="shared" si="22"/>
        <v>2.8809462073418812E-3</v>
      </c>
      <c r="CQ42" s="183">
        <f t="shared" si="23"/>
        <v>-9.4286528238102574E-2</v>
      </c>
      <c r="CR42" s="186">
        <f t="shared" si="39"/>
        <v>-9.1405582030760699E-2</v>
      </c>
      <c r="CS42" s="180">
        <f>SUM($CR$19:CR42)</f>
        <v>-1.4801047606189708</v>
      </c>
      <c r="CT42" s="181">
        <f t="shared" si="24"/>
        <v>11.802694881877677</v>
      </c>
      <c r="CU42" s="181">
        <f t="shared" si="25"/>
        <v>-4.3237054276585161</v>
      </c>
      <c r="CV42" s="188">
        <f t="shared" si="40"/>
        <v>70.773889926643605</v>
      </c>
      <c r="CW42" s="188">
        <f t="shared" si="41"/>
        <v>-2.8345763289658135</v>
      </c>
    </row>
    <row r="43" spans="1:101" s="77" customFormat="1" ht="12.75" x14ac:dyDescent="0.2">
      <c r="A43" s="172">
        <v>1</v>
      </c>
      <c r="B43" s="76"/>
      <c r="D43" s="73"/>
      <c r="E43" s="76"/>
      <c r="F43" s="104"/>
      <c r="G43" s="110"/>
      <c r="I43" s="73"/>
      <c r="J43" s="87"/>
      <c r="K43" s="172">
        <v>1.6666000000000001</v>
      </c>
      <c r="L43" s="157"/>
      <c r="M43" s="156"/>
      <c r="N43" s="156"/>
      <c r="O43" s="156"/>
      <c r="P43" s="156"/>
      <c r="Q43" s="156"/>
      <c r="R43" s="156"/>
      <c r="S43" s="156"/>
      <c r="T43" s="156"/>
      <c r="U43" s="157"/>
      <c r="V43" s="88"/>
      <c r="W43" s="88">
        <v>24</v>
      </c>
      <c r="X43" s="178">
        <f t="shared" si="42"/>
        <v>3.8333333333333317</v>
      </c>
      <c r="Y43" s="84">
        <f t="shared" si="26"/>
        <v>3.9999999999999982</v>
      </c>
      <c r="Z43" s="84">
        <f t="shared" si="27"/>
        <v>3.9166666666666652</v>
      </c>
      <c r="AA43" s="178">
        <f t="shared" si="28"/>
        <v>1.52217</v>
      </c>
      <c r="AB43" s="178">
        <f t="shared" si="29"/>
        <v>0.13916666666666666</v>
      </c>
      <c r="AC43" s="181">
        <f t="shared" si="30"/>
        <v>4.5666666666666664</v>
      </c>
      <c r="AD43" s="181">
        <f t="shared" si="43"/>
        <v>1.4460614999999999</v>
      </c>
      <c r="AE43" s="181">
        <f t="shared" si="43"/>
        <v>1.2938445000000001</v>
      </c>
      <c r="AF43" s="181">
        <f t="shared" si="43"/>
        <v>1.1416275000000002</v>
      </c>
      <c r="AG43" s="181">
        <f t="shared" si="43"/>
        <v>0.98941049999999997</v>
      </c>
      <c r="AH43" s="181">
        <f t="shared" si="43"/>
        <v>0.83719350000000015</v>
      </c>
      <c r="AI43" s="181">
        <f t="shared" si="43"/>
        <v>0.68497650000000032</v>
      </c>
      <c r="AJ43" s="181">
        <f t="shared" si="43"/>
        <v>0.53275950000000005</v>
      </c>
      <c r="AK43" s="181">
        <f t="shared" si="43"/>
        <v>0.38054249999999978</v>
      </c>
      <c r="AL43" s="181">
        <f t="shared" si="43"/>
        <v>0.2283255000000004</v>
      </c>
      <c r="AM43" s="181">
        <f t="shared" si="43"/>
        <v>7.6108500000000134E-2</v>
      </c>
      <c r="AN43" s="181">
        <f t="shared" si="43"/>
        <v>0</v>
      </c>
      <c r="AO43" s="168">
        <f t="shared" si="31"/>
        <v>0.15221699999999999</v>
      </c>
      <c r="AP43" s="181">
        <f t="shared" si="32"/>
        <v>1.3830033333333334</v>
      </c>
      <c r="AQ43" s="181">
        <f t="shared" si="4"/>
        <v>128.07130795847752</v>
      </c>
      <c r="AR43" s="181">
        <f t="shared" si="4"/>
        <v>102.52800000000001</v>
      </c>
      <c r="AS43" s="181">
        <f t="shared" ref="AS43:BA49" si="44">3*$C$32*(($AC43-($AC43-AF$18*$AA43))/$AA43)^2</f>
        <v>79.822837370242254</v>
      </c>
      <c r="AT43" s="181">
        <f t="shared" si="44"/>
        <v>59.955820069204165</v>
      </c>
      <c r="AU43" s="181">
        <f t="shared" si="44"/>
        <v>42.926948096885823</v>
      </c>
      <c r="AV43" s="181">
        <f t="shared" si="44"/>
        <v>28.736221453287222</v>
      </c>
      <c r="AW43" s="181">
        <f t="shared" si="44"/>
        <v>17.38364013840831</v>
      </c>
      <c r="AX43" s="181">
        <f t="shared" si="44"/>
        <v>8.8692041522491252</v>
      </c>
      <c r="AY43" s="181">
        <f t="shared" si="44"/>
        <v>3.1929134948097007</v>
      </c>
      <c r="AZ43" s="181">
        <f t="shared" si="44"/>
        <v>0.3547681660899667</v>
      </c>
      <c r="BA43" s="181">
        <f t="shared" si="44"/>
        <v>0</v>
      </c>
      <c r="BB43" s="181">
        <f t="shared" si="33"/>
        <v>3.2491050472525949</v>
      </c>
      <c r="BC43" s="181">
        <f t="shared" si="33"/>
        <v>2.6010840959999997</v>
      </c>
      <c r="BD43" s="181">
        <f t="shared" si="33"/>
        <v>2.0250654726643607</v>
      </c>
      <c r="BE43" s="181">
        <f t="shared" si="33"/>
        <v>1.5210491772456749</v>
      </c>
      <c r="BF43" s="181">
        <f t="shared" si="33"/>
        <v>1.0890352097439446</v>
      </c>
      <c r="BG43" s="181">
        <f t="shared" si="33"/>
        <v>0.72902357015917008</v>
      </c>
      <c r="BH43" s="181">
        <f t="shared" si="33"/>
        <v>0.44101425849134956</v>
      </c>
      <c r="BI43" s="181">
        <f t="shared" si="33"/>
        <v>0.22500727474048415</v>
      </c>
      <c r="BJ43" s="181">
        <f t="shared" si="33"/>
        <v>8.1002618906574689E-2</v>
      </c>
      <c r="BK43" s="181">
        <f t="shared" si="33"/>
        <v>9.0002909896194083E-3</v>
      </c>
      <c r="BL43" s="181">
        <f t="shared" si="33"/>
        <v>0</v>
      </c>
      <c r="BM43" s="191">
        <f t="shared" si="34"/>
        <v>11.970387016193772</v>
      </c>
      <c r="BN43" s="191">
        <f t="shared" si="6"/>
        <v>0.20488260758716154</v>
      </c>
      <c r="BO43" s="191">
        <f t="shared" si="7"/>
        <v>-0.23190962340124788</v>
      </c>
      <c r="BP43" s="191">
        <f t="shared" si="8"/>
        <v>-0.48880186601892017</v>
      </c>
      <c r="BQ43" s="191">
        <f t="shared" si="9"/>
        <v>-0.59867405531146078</v>
      </c>
      <c r="BR43" s="191">
        <f t="shared" si="10"/>
        <v>-0.59440612632447398</v>
      </c>
      <c r="BS43" s="191">
        <f t="shared" si="11"/>
        <v>-0.50887801410356648</v>
      </c>
      <c r="BT43" s="191">
        <f t="shared" si="12"/>
        <v>-0.3749696536943426</v>
      </c>
      <c r="BU43" s="191">
        <f t="shared" si="13"/>
        <v>-0.22556098014240808</v>
      </c>
      <c r="BV43" s="191">
        <f t="shared" si="14"/>
        <v>-9.3531928493369332E-2</v>
      </c>
      <c r="BW43" s="191">
        <f t="shared" si="15"/>
        <v>-1.1762433792830157E-2</v>
      </c>
      <c r="BX43" s="191">
        <f t="shared" si="16"/>
        <v>0</v>
      </c>
      <c r="BY43" s="191">
        <f t="shared" si="35"/>
        <v>-2.9236120736954581</v>
      </c>
      <c r="CH43" s="178">
        <f t="shared" si="17"/>
        <v>2.3194444444444441E-2</v>
      </c>
      <c r="CI43" s="181">
        <f t="shared" si="18"/>
        <v>0.23050055555555554</v>
      </c>
      <c r="CJ43" s="182">
        <f t="shared" si="36"/>
        <v>2.3194444444444441E-2</v>
      </c>
      <c r="CK43" s="162">
        <f t="shared" si="37"/>
        <v>0.11525027777777777</v>
      </c>
      <c r="CL43" s="181">
        <f t="shared" si="38"/>
        <v>0.13844472222222221</v>
      </c>
      <c r="CM43" s="180">
        <f t="shared" si="19"/>
        <v>4.2412607526267264E-2</v>
      </c>
      <c r="CN43" s="180">
        <f t="shared" si="20"/>
        <v>0.21074291347611754</v>
      </c>
      <c r="CO43" s="180">
        <f t="shared" si="21"/>
        <v>0.25315552100238481</v>
      </c>
      <c r="CP43" s="183">
        <f t="shared" si="22"/>
        <v>2.9512106070360969E-3</v>
      </c>
      <c r="CQ43" s="183">
        <f t="shared" si="23"/>
        <v>-9.715271727128294E-2</v>
      </c>
      <c r="CR43" s="186">
        <f t="shared" si="39"/>
        <v>-9.4201506664246842E-2</v>
      </c>
      <c r="CS43" s="180">
        <f>SUM($CR$19:CR43)</f>
        <v>-1.5743062672832175</v>
      </c>
      <c r="CT43" s="181">
        <f t="shared" si="24"/>
        <v>11.974869322875438</v>
      </c>
      <c r="CU43" s="181">
        <f t="shared" si="25"/>
        <v>-4.4559594349582019</v>
      </c>
      <c r="CV43" s="188">
        <f t="shared" si="40"/>
        <v>71.82232209716264</v>
      </c>
      <c r="CW43" s="188">
        <f t="shared" si="41"/>
        <v>-2.9236120736954581</v>
      </c>
    </row>
    <row r="44" spans="1:101" s="77" customFormat="1" ht="12.75" x14ac:dyDescent="0.2">
      <c r="A44" s="171" t="s">
        <v>136</v>
      </c>
      <c r="B44" s="80"/>
      <c r="C44" s="95"/>
      <c r="D44" s="110"/>
      <c r="E44" s="109"/>
      <c r="F44" s="88" t="s">
        <v>207</v>
      </c>
      <c r="G44" s="73"/>
      <c r="I44" s="73"/>
      <c r="J44" s="73"/>
      <c r="K44" s="171" t="s">
        <v>136</v>
      </c>
      <c r="L44" s="157"/>
      <c r="M44" s="156"/>
      <c r="N44" s="156"/>
      <c r="O44" s="156"/>
      <c r="P44" s="156"/>
      <c r="Q44" s="156"/>
      <c r="R44" s="156"/>
      <c r="S44" s="156"/>
      <c r="T44" s="156"/>
      <c r="U44" s="157"/>
      <c r="V44" s="88"/>
      <c r="W44" s="88">
        <v>25</v>
      </c>
      <c r="X44" s="178">
        <f t="shared" si="42"/>
        <v>3.9999999999999982</v>
      </c>
      <c r="Y44" s="84">
        <f t="shared" si="26"/>
        <v>4.1666666666666652</v>
      </c>
      <c r="Z44" s="84">
        <f t="shared" si="27"/>
        <v>4.0833333333333321</v>
      </c>
      <c r="AA44" s="178">
        <f t="shared" si="28"/>
        <v>1.5443899999999999</v>
      </c>
      <c r="AB44" s="178">
        <f t="shared" si="29"/>
        <v>0.14083333333333331</v>
      </c>
      <c r="AC44" s="181">
        <f t="shared" si="30"/>
        <v>4.6333333333333329</v>
      </c>
      <c r="AD44" s="181">
        <f t="shared" si="43"/>
        <v>1.4671704999999999</v>
      </c>
      <c r="AE44" s="181">
        <f t="shared" si="43"/>
        <v>1.3127314999999999</v>
      </c>
      <c r="AF44" s="181">
        <f t="shared" si="43"/>
        <v>1.1582924999999999</v>
      </c>
      <c r="AG44" s="181">
        <f t="shared" si="43"/>
        <v>1.0038535</v>
      </c>
      <c r="AH44" s="181">
        <f t="shared" si="43"/>
        <v>0.84941449999999996</v>
      </c>
      <c r="AI44" s="181">
        <f t="shared" si="43"/>
        <v>0.69497549999999997</v>
      </c>
      <c r="AJ44" s="181">
        <f t="shared" si="43"/>
        <v>0.54053649999999998</v>
      </c>
      <c r="AK44" s="181">
        <f t="shared" si="43"/>
        <v>0.38609749999999998</v>
      </c>
      <c r="AL44" s="181">
        <f t="shared" si="43"/>
        <v>0.23165849999999999</v>
      </c>
      <c r="AM44" s="181">
        <f t="shared" si="43"/>
        <v>7.7219499999999996E-2</v>
      </c>
      <c r="AN44" s="181">
        <f t="shared" si="43"/>
        <v>0</v>
      </c>
      <c r="AO44" s="168">
        <f t="shared" si="31"/>
        <v>0.15443899999999999</v>
      </c>
      <c r="AP44" s="181">
        <f t="shared" si="32"/>
        <v>1.4035566666666666</v>
      </c>
      <c r="AQ44" s="181">
        <f t="shared" ref="AQ44:AR49" si="45">3*$C$32*(($AC44-($AC44-AD$18*$AA44))/$AA44)^2</f>
        <v>128.07130795847752</v>
      </c>
      <c r="AR44" s="181">
        <f t="shared" si="45"/>
        <v>102.52800000000001</v>
      </c>
      <c r="AS44" s="181">
        <f t="shared" si="44"/>
        <v>79.822837370242226</v>
      </c>
      <c r="AT44" s="181">
        <f t="shared" si="44"/>
        <v>59.955820069204165</v>
      </c>
      <c r="AU44" s="181">
        <f t="shared" si="44"/>
        <v>42.926948096885823</v>
      </c>
      <c r="AV44" s="181">
        <f t="shared" si="44"/>
        <v>28.7362214532872</v>
      </c>
      <c r="AW44" s="181">
        <f t="shared" si="44"/>
        <v>17.383640138408303</v>
      </c>
      <c r="AX44" s="181">
        <f t="shared" si="44"/>
        <v>8.8692041522491358</v>
      </c>
      <c r="AY44" s="181">
        <f t="shared" si="44"/>
        <v>3.1929134948096887</v>
      </c>
      <c r="AZ44" s="181">
        <f t="shared" si="44"/>
        <v>0.35476816608996548</v>
      </c>
      <c r="BA44" s="181">
        <f t="shared" si="44"/>
        <v>0</v>
      </c>
      <c r="BB44" s="181">
        <f t="shared" si="33"/>
        <v>3.296534121633218</v>
      </c>
      <c r="BC44" s="181">
        <f t="shared" si="33"/>
        <v>2.639053632</v>
      </c>
      <c r="BD44" s="181">
        <f t="shared" si="33"/>
        <v>2.054626530103806</v>
      </c>
      <c r="BE44" s="181">
        <f t="shared" si="33"/>
        <v>1.5432528159446368</v>
      </c>
      <c r="BF44" s="181">
        <f t="shared" si="33"/>
        <v>1.1049324895224915</v>
      </c>
      <c r="BG44" s="181">
        <f t="shared" si="33"/>
        <v>0.73966555083737018</v>
      </c>
      <c r="BH44" s="181">
        <f t="shared" si="33"/>
        <v>0.44745199988927326</v>
      </c>
      <c r="BI44" s="181">
        <f t="shared" si="33"/>
        <v>0.22829183667820069</v>
      </c>
      <c r="BJ44" s="181">
        <f t="shared" si="33"/>
        <v>8.218506120415224E-2</v>
      </c>
      <c r="BK44" s="181">
        <f t="shared" si="33"/>
        <v>9.1316734671280288E-3</v>
      </c>
      <c r="BL44" s="181">
        <f t="shared" si="33"/>
        <v>0</v>
      </c>
      <c r="BM44" s="191">
        <f t="shared" si="34"/>
        <v>12.145125711280276</v>
      </c>
      <c r="BN44" s="191">
        <f t="shared" si="6"/>
        <v>0.20970517219122203</v>
      </c>
      <c r="BO44" s="191">
        <f t="shared" si="7"/>
        <v>-0.23969248596867188</v>
      </c>
      <c r="BP44" s="191">
        <f t="shared" si="8"/>
        <v>-0.50392626371713478</v>
      </c>
      <c r="BQ44" s="191">
        <f t="shared" si="9"/>
        <v>-0.61684303750032177</v>
      </c>
      <c r="BR44" s="191">
        <f t="shared" si="10"/>
        <v>-0.6122896837643873</v>
      </c>
      <c r="BS44" s="191">
        <f t="shared" si="11"/>
        <v>-0.52411307895548631</v>
      </c>
      <c r="BT44" s="191">
        <f t="shared" si="12"/>
        <v>-0.38616009951977387</v>
      </c>
      <c r="BU44" s="191">
        <f t="shared" si="13"/>
        <v>-0.23227762190340481</v>
      </c>
      <c r="BV44" s="191">
        <f t="shared" si="14"/>
        <v>-9.6312522552533794E-2</v>
      </c>
      <c r="BW44" s="191">
        <f t="shared" si="15"/>
        <v>-1.2111677913315765E-2</v>
      </c>
      <c r="BX44" s="191">
        <f t="shared" si="16"/>
        <v>0</v>
      </c>
      <c r="BY44" s="191">
        <f t="shared" si="35"/>
        <v>-3.0140212996038085</v>
      </c>
      <c r="CH44" s="178">
        <f t="shared" si="17"/>
        <v>2.3472222222222217E-2</v>
      </c>
      <c r="CI44" s="181">
        <f t="shared" si="18"/>
        <v>0.23392611111111108</v>
      </c>
      <c r="CJ44" s="182">
        <f t="shared" si="36"/>
        <v>2.3472222222222217E-2</v>
      </c>
      <c r="CK44" s="162">
        <f t="shared" si="37"/>
        <v>0.11696305555555554</v>
      </c>
      <c r="CL44" s="181">
        <f t="shared" si="38"/>
        <v>0.14043527777777776</v>
      </c>
      <c r="CM44" s="180">
        <f t="shared" si="19"/>
        <v>4.292054294574351E-2</v>
      </c>
      <c r="CN44" s="180">
        <f t="shared" si="20"/>
        <v>0.21387484327260811</v>
      </c>
      <c r="CO44" s="180">
        <f t="shared" si="21"/>
        <v>0.25679538621835163</v>
      </c>
      <c r="CP44" s="183">
        <f t="shared" si="22"/>
        <v>3.0223215657627718E-3</v>
      </c>
      <c r="CQ44" s="183">
        <f t="shared" si="23"/>
        <v>-0.10006182070251919</v>
      </c>
      <c r="CR44" s="186">
        <f t="shared" si="39"/>
        <v>-9.7039499136756413E-2</v>
      </c>
      <c r="CS44" s="180">
        <f>SUM($CR$19:CR44)</f>
        <v>-1.671345766419974</v>
      </c>
      <c r="CT44" s="181">
        <f t="shared" si="24"/>
        <v>12.147043763873199</v>
      </c>
      <c r="CU44" s="181">
        <f t="shared" si="25"/>
        <v>-4.5902033529381141</v>
      </c>
      <c r="CV44" s="188">
        <f t="shared" si="40"/>
        <v>72.870754267681662</v>
      </c>
      <c r="CW44" s="188">
        <f t="shared" si="41"/>
        <v>-3.0140212996038085</v>
      </c>
    </row>
    <row r="45" spans="1:101" s="77" customFormat="1" ht="12.75" x14ac:dyDescent="0.2">
      <c r="A45" s="73"/>
      <c r="F45" s="104"/>
      <c r="G45" s="73"/>
      <c r="I45" s="73"/>
      <c r="J45" s="83"/>
      <c r="K45" s="73"/>
      <c r="L45" s="157"/>
      <c r="M45" s="156"/>
      <c r="N45" s="156"/>
      <c r="O45" s="156"/>
      <c r="P45" s="156"/>
      <c r="Q45" s="156"/>
      <c r="R45" s="156"/>
      <c r="S45" s="156"/>
      <c r="T45" s="156"/>
      <c r="U45" s="157"/>
      <c r="V45" s="88"/>
      <c r="W45" s="88">
        <v>26</v>
      </c>
      <c r="X45" s="178">
        <f t="shared" si="42"/>
        <v>4.1666666666666652</v>
      </c>
      <c r="Y45" s="84">
        <f t="shared" si="26"/>
        <v>4.3333333333333321</v>
      </c>
      <c r="Z45" s="84">
        <f t="shared" si="27"/>
        <v>4.2499999999999982</v>
      </c>
      <c r="AA45" s="178">
        <f t="shared" si="28"/>
        <v>1.5666099999999998</v>
      </c>
      <c r="AB45" s="178">
        <f t="shared" si="29"/>
        <v>0.14249999999999999</v>
      </c>
      <c r="AC45" s="181">
        <f t="shared" si="30"/>
        <v>4.6999999999999993</v>
      </c>
      <c r="AD45" s="181">
        <f t="shared" si="43"/>
        <v>1.4882795</v>
      </c>
      <c r="AE45" s="181">
        <f t="shared" si="43"/>
        <v>1.3316184999999998</v>
      </c>
      <c r="AF45" s="181">
        <f t="shared" si="43"/>
        <v>1.1749574999999997</v>
      </c>
      <c r="AG45" s="181">
        <f t="shared" si="43"/>
        <v>1.0182964999999999</v>
      </c>
      <c r="AH45" s="181">
        <f t="shared" si="43"/>
        <v>0.86163550000000022</v>
      </c>
      <c r="AI45" s="181">
        <f t="shared" si="43"/>
        <v>0.70497450000000006</v>
      </c>
      <c r="AJ45" s="181">
        <f t="shared" si="43"/>
        <v>0.5483134999999999</v>
      </c>
      <c r="AK45" s="181">
        <f t="shared" si="43"/>
        <v>0.39165250000000018</v>
      </c>
      <c r="AL45" s="181">
        <f t="shared" si="43"/>
        <v>0.23499150000000046</v>
      </c>
      <c r="AM45" s="181">
        <f t="shared" si="43"/>
        <v>7.8330499999999859E-2</v>
      </c>
      <c r="AN45" s="181">
        <f t="shared" si="43"/>
        <v>0</v>
      </c>
      <c r="AO45" s="168">
        <f t="shared" si="31"/>
        <v>0.15666099999999999</v>
      </c>
      <c r="AP45" s="181">
        <f t="shared" si="32"/>
        <v>1.4241099999999998</v>
      </c>
      <c r="AQ45" s="181">
        <f t="shared" si="45"/>
        <v>128.07130795847752</v>
      </c>
      <c r="AR45" s="181">
        <f t="shared" si="45"/>
        <v>102.52800000000001</v>
      </c>
      <c r="AS45" s="181">
        <f t="shared" si="44"/>
        <v>79.822837370242198</v>
      </c>
      <c r="AT45" s="181">
        <f t="shared" si="44"/>
        <v>59.955820069204165</v>
      </c>
      <c r="AU45" s="181">
        <f t="shared" si="44"/>
        <v>42.926948096885837</v>
      </c>
      <c r="AV45" s="181">
        <f t="shared" si="44"/>
        <v>28.736221453287211</v>
      </c>
      <c r="AW45" s="181">
        <f t="shared" si="44"/>
        <v>17.383640138408303</v>
      </c>
      <c r="AX45" s="181">
        <f t="shared" si="44"/>
        <v>8.8692041522491483</v>
      </c>
      <c r="AY45" s="181">
        <f t="shared" si="44"/>
        <v>3.1929134948097015</v>
      </c>
      <c r="AZ45" s="181">
        <f t="shared" si="44"/>
        <v>0.3547681660899642</v>
      </c>
      <c r="BA45" s="181">
        <f t="shared" si="44"/>
        <v>0</v>
      </c>
      <c r="BB45" s="181">
        <f t="shared" si="33"/>
        <v>3.3439631960138407</v>
      </c>
      <c r="BC45" s="181">
        <f t="shared" si="33"/>
        <v>2.6770231679999998</v>
      </c>
      <c r="BD45" s="181">
        <f t="shared" si="33"/>
        <v>2.0841875875432518</v>
      </c>
      <c r="BE45" s="181">
        <f t="shared" si="33"/>
        <v>1.5654564546435987</v>
      </c>
      <c r="BF45" s="181">
        <f t="shared" si="33"/>
        <v>1.1208297693010385</v>
      </c>
      <c r="BG45" s="181">
        <f t="shared" si="33"/>
        <v>0.75030753151557117</v>
      </c>
      <c r="BH45" s="181">
        <f t="shared" si="33"/>
        <v>0.45388974128719717</v>
      </c>
      <c r="BI45" s="181">
        <f t="shared" si="33"/>
        <v>0.23157639861591728</v>
      </c>
      <c r="BJ45" s="181">
        <f t="shared" si="33"/>
        <v>8.3367503501730431E-2</v>
      </c>
      <c r="BK45" s="181">
        <f t="shared" si="33"/>
        <v>9.2630559446366459E-3</v>
      </c>
      <c r="BL45" s="181">
        <f t="shared" si="33"/>
        <v>0</v>
      </c>
      <c r="BM45" s="191">
        <f t="shared" si="34"/>
        <v>12.319864406366781</v>
      </c>
      <c r="BN45" s="191">
        <f t="shared" si="6"/>
        <v>0.21458044630661086</v>
      </c>
      <c r="BO45" s="191">
        <f t="shared" si="7"/>
        <v>-0.24760188834307184</v>
      </c>
      <c r="BP45" s="191">
        <f t="shared" si="8"/>
        <v>-0.51928054790537026</v>
      </c>
      <c r="BQ45" s="191">
        <f t="shared" si="9"/>
        <v>-0.63528336295650978</v>
      </c>
      <c r="BR45" s="191">
        <f t="shared" si="10"/>
        <v>-0.63043816407271647</v>
      </c>
      <c r="BS45" s="191">
        <f t="shared" si="11"/>
        <v>-0.53957278183021584</v>
      </c>
      <c r="BT45" s="191">
        <f t="shared" si="12"/>
        <v>-0.3975150468052327</v>
      </c>
      <c r="BU45" s="191">
        <f t="shared" si="13"/>
        <v>-0.23909278957399333</v>
      </c>
      <c r="BV45" s="191">
        <f t="shared" si="14"/>
        <v>-9.9133840712722382E-2</v>
      </c>
      <c r="BW45" s="191">
        <f t="shared" si="15"/>
        <v>-1.2466030797645132E-2</v>
      </c>
      <c r="BX45" s="191">
        <f t="shared" si="16"/>
        <v>0</v>
      </c>
      <c r="BY45" s="191">
        <f t="shared" si="35"/>
        <v>-3.105804006690867</v>
      </c>
      <c r="CH45" s="178">
        <f t="shared" si="17"/>
        <v>2.3749999999999997E-2</v>
      </c>
      <c r="CI45" s="181">
        <f t="shared" si="18"/>
        <v>0.23735166666666663</v>
      </c>
      <c r="CJ45" s="182">
        <f t="shared" si="36"/>
        <v>2.3749999999999997E-2</v>
      </c>
      <c r="CK45" s="162">
        <f t="shared" si="37"/>
        <v>0.11867583333333331</v>
      </c>
      <c r="CL45" s="181">
        <f t="shared" si="38"/>
        <v>0.14242583333333331</v>
      </c>
      <c r="CM45" s="180">
        <f t="shared" si="19"/>
        <v>4.3428478365219771E-2</v>
      </c>
      <c r="CN45" s="180">
        <f t="shared" si="20"/>
        <v>0.21700677306909869</v>
      </c>
      <c r="CO45" s="180">
        <f t="shared" si="21"/>
        <v>0.26043525143431845</v>
      </c>
      <c r="CP45" s="183">
        <f t="shared" si="22"/>
        <v>3.0942790835219083E-3</v>
      </c>
      <c r="CQ45" s="183">
        <f t="shared" si="23"/>
        <v>-0.10301383853181136</v>
      </c>
      <c r="CR45" s="186">
        <f t="shared" si="39"/>
        <v>-9.9919559448289452E-2</v>
      </c>
      <c r="CS45" s="180">
        <f>SUM($CR$19:CR45)</f>
        <v>-1.7712653258682636</v>
      </c>
      <c r="CT45" s="181">
        <f t="shared" si="24"/>
        <v>12.31921820487096</v>
      </c>
      <c r="CU45" s="181">
        <f t="shared" si="25"/>
        <v>-4.7264371815982571</v>
      </c>
      <c r="CV45" s="188">
        <f t="shared" si="40"/>
        <v>73.919186438200697</v>
      </c>
      <c r="CW45" s="188">
        <f t="shared" si="41"/>
        <v>-3.105804006690867</v>
      </c>
    </row>
    <row r="46" spans="1:101" s="77" customFormat="1" ht="12.75" x14ac:dyDescent="0.2">
      <c r="A46" s="83" t="s">
        <v>209</v>
      </c>
      <c r="B46" s="76"/>
      <c r="D46" s="73"/>
      <c r="E46" s="76"/>
      <c r="F46" s="104"/>
      <c r="G46" s="110"/>
      <c r="I46" s="76"/>
      <c r="J46" s="113"/>
      <c r="K46" s="83" t="s">
        <v>209</v>
      </c>
      <c r="L46" s="157"/>
      <c r="M46" s="156"/>
      <c r="N46" s="156"/>
      <c r="O46" s="156"/>
      <c r="P46" s="156"/>
      <c r="Q46" s="156"/>
      <c r="R46" s="156"/>
      <c r="S46" s="156"/>
      <c r="T46" s="156"/>
      <c r="U46" s="157"/>
      <c r="V46" s="88"/>
      <c r="W46" s="88">
        <v>27</v>
      </c>
      <c r="X46" s="178">
        <f t="shared" si="42"/>
        <v>4.3333333333333321</v>
      </c>
      <c r="Y46" s="84">
        <f t="shared" si="26"/>
        <v>4.4999999999999991</v>
      </c>
      <c r="Z46" s="84">
        <f t="shared" si="27"/>
        <v>4.4166666666666661</v>
      </c>
      <c r="AA46" s="178">
        <f t="shared" si="28"/>
        <v>1.58883</v>
      </c>
      <c r="AB46" s="178">
        <f t="shared" si="29"/>
        <v>0.14416666666666667</v>
      </c>
      <c r="AC46" s="181">
        <f t="shared" si="30"/>
        <v>4.7666666666666666</v>
      </c>
      <c r="AD46" s="181">
        <f t="shared" si="43"/>
        <v>1.5093885</v>
      </c>
      <c r="AE46" s="181">
        <f t="shared" si="43"/>
        <v>1.3505054999999997</v>
      </c>
      <c r="AF46" s="181">
        <f t="shared" si="43"/>
        <v>1.1916225000000003</v>
      </c>
      <c r="AG46" s="181">
        <f t="shared" si="43"/>
        <v>1.0327394999999999</v>
      </c>
      <c r="AH46" s="181">
        <f t="shared" si="43"/>
        <v>0.87385650000000004</v>
      </c>
      <c r="AI46" s="181">
        <f t="shared" si="43"/>
        <v>0.71497350000000015</v>
      </c>
      <c r="AJ46" s="181">
        <f t="shared" si="43"/>
        <v>0.55609049999999982</v>
      </c>
      <c r="AK46" s="181">
        <f t="shared" si="43"/>
        <v>0.39720750000000038</v>
      </c>
      <c r="AL46" s="181">
        <f t="shared" si="43"/>
        <v>0.23832450000000005</v>
      </c>
      <c r="AM46" s="181">
        <f t="shared" si="43"/>
        <v>7.9441499999999721E-2</v>
      </c>
      <c r="AN46" s="181">
        <f t="shared" si="43"/>
        <v>0</v>
      </c>
      <c r="AO46" s="168">
        <f t="shared" si="31"/>
        <v>0.158883</v>
      </c>
      <c r="AP46" s="181">
        <f t="shared" si="32"/>
        <v>1.4446633333333332</v>
      </c>
      <c r="AQ46" s="181">
        <f t="shared" si="45"/>
        <v>128.07130795847752</v>
      </c>
      <c r="AR46" s="181">
        <f t="shared" si="45"/>
        <v>102.52799999999998</v>
      </c>
      <c r="AS46" s="181">
        <f t="shared" si="44"/>
        <v>79.822837370242269</v>
      </c>
      <c r="AT46" s="181">
        <f t="shared" si="44"/>
        <v>59.955820069204144</v>
      </c>
      <c r="AU46" s="181">
        <f t="shared" si="44"/>
        <v>42.926948096885823</v>
      </c>
      <c r="AV46" s="181">
        <f t="shared" si="44"/>
        <v>28.736221453287214</v>
      </c>
      <c r="AW46" s="181">
        <f t="shared" si="44"/>
        <v>17.3836401384083</v>
      </c>
      <c r="AX46" s="181">
        <f t="shared" si="44"/>
        <v>8.8692041522491518</v>
      </c>
      <c r="AY46" s="181">
        <f t="shared" si="44"/>
        <v>3.1929134948096896</v>
      </c>
      <c r="AZ46" s="181">
        <f t="shared" si="44"/>
        <v>0.35476816608996292</v>
      </c>
      <c r="BA46" s="181">
        <f t="shared" si="44"/>
        <v>0</v>
      </c>
      <c r="BB46" s="181">
        <f t="shared" si="33"/>
        <v>3.3913922703944634</v>
      </c>
      <c r="BC46" s="181">
        <f t="shared" si="33"/>
        <v>2.7149927039999993</v>
      </c>
      <c r="BD46" s="181">
        <f t="shared" si="33"/>
        <v>2.1137486449827003</v>
      </c>
      <c r="BE46" s="181">
        <f t="shared" si="33"/>
        <v>1.5876600933425602</v>
      </c>
      <c r="BF46" s="181">
        <f t="shared" si="33"/>
        <v>1.1367270490795849</v>
      </c>
      <c r="BG46" s="181">
        <f t="shared" si="33"/>
        <v>0.76094951219377205</v>
      </c>
      <c r="BH46" s="181">
        <f t="shared" si="33"/>
        <v>0.46032748268512091</v>
      </c>
      <c r="BI46" s="181">
        <f t="shared" si="33"/>
        <v>0.23486096055363365</v>
      </c>
      <c r="BJ46" s="181">
        <f t="shared" si="33"/>
        <v>8.4549945799307968E-2</v>
      </c>
      <c r="BK46" s="181">
        <f t="shared" si="33"/>
        <v>9.3944384221452629E-3</v>
      </c>
      <c r="BL46" s="181">
        <f t="shared" si="33"/>
        <v>0</v>
      </c>
      <c r="BM46" s="191">
        <f t="shared" si="34"/>
        <v>12.494603101453288</v>
      </c>
      <c r="BN46" s="191">
        <f t="shared" si="6"/>
        <v>0.21950842993332728</v>
      </c>
      <c r="BO46" s="191">
        <f t="shared" si="7"/>
        <v>-0.25563783052444838</v>
      </c>
      <c r="BP46" s="191">
        <f t="shared" si="8"/>
        <v>-0.53486471858362583</v>
      </c>
      <c r="BQ46" s="191">
        <f t="shared" si="9"/>
        <v>-0.65399503168002515</v>
      </c>
      <c r="BR46" s="191">
        <f t="shared" si="10"/>
        <v>-0.64885156724946225</v>
      </c>
      <c r="BS46" s="191">
        <f t="shared" si="11"/>
        <v>-0.55525712272775463</v>
      </c>
      <c r="BT46" s="191">
        <f t="shared" si="12"/>
        <v>-0.40903449555071886</v>
      </c>
      <c r="BU46" s="191">
        <f t="shared" si="13"/>
        <v>-0.24600648315417334</v>
      </c>
      <c r="BV46" s="191">
        <f t="shared" si="14"/>
        <v>-0.10199588297393372</v>
      </c>
      <c r="BW46" s="191">
        <f t="shared" si="15"/>
        <v>-1.2825492445818265E-2</v>
      </c>
      <c r="BX46" s="191">
        <f t="shared" si="16"/>
        <v>0</v>
      </c>
      <c r="BY46" s="191">
        <f t="shared" si="35"/>
        <v>-3.1989601949566331</v>
      </c>
      <c r="CH46" s="178">
        <f t="shared" si="17"/>
        <v>2.4027777777777776E-2</v>
      </c>
      <c r="CI46" s="181">
        <f t="shared" si="18"/>
        <v>0.2407772222222222</v>
      </c>
      <c r="CJ46" s="182">
        <f t="shared" si="36"/>
        <v>2.4027777777777776E-2</v>
      </c>
      <c r="CK46" s="162">
        <f t="shared" si="37"/>
        <v>0.1203886111111111</v>
      </c>
      <c r="CL46" s="181">
        <f t="shared" si="38"/>
        <v>0.14441638888888889</v>
      </c>
      <c r="CM46" s="180">
        <f t="shared" si="19"/>
        <v>4.3936413784696031E-2</v>
      </c>
      <c r="CN46" s="180">
        <f t="shared" si="20"/>
        <v>0.22013870286558929</v>
      </c>
      <c r="CO46" s="180">
        <f t="shared" si="21"/>
        <v>0.26407511665028532</v>
      </c>
      <c r="CP46" s="183">
        <f t="shared" si="22"/>
        <v>3.1670831603135053E-3</v>
      </c>
      <c r="CQ46" s="183">
        <f t="shared" si="23"/>
        <v>-0.10600877075915947</v>
      </c>
      <c r="CR46" s="186">
        <f t="shared" si="39"/>
        <v>-0.10284168759884597</v>
      </c>
      <c r="CS46" s="180">
        <f>SUM($CR$19:CR46)</f>
        <v>-1.8741070134671096</v>
      </c>
      <c r="CT46" s="181">
        <f t="shared" si="24"/>
        <v>12.491392645868723</v>
      </c>
      <c r="CU46" s="181">
        <f t="shared" si="25"/>
        <v>-4.8646609209386309</v>
      </c>
      <c r="CV46" s="188">
        <f t="shared" si="40"/>
        <v>74.967618608719732</v>
      </c>
      <c r="CW46" s="188">
        <f t="shared" si="41"/>
        <v>-3.1989601949566331</v>
      </c>
    </row>
    <row r="47" spans="1:101" s="77" customFormat="1" ht="12.75" x14ac:dyDescent="0.2">
      <c r="A47" s="83" t="s">
        <v>133</v>
      </c>
      <c r="B47" s="80"/>
      <c r="C47" s="95"/>
      <c r="D47" s="110"/>
      <c r="E47" s="76"/>
      <c r="F47" s="111"/>
      <c r="I47" s="73"/>
      <c r="J47" s="73"/>
      <c r="K47" s="83" t="s">
        <v>133</v>
      </c>
      <c r="L47" s="157"/>
      <c r="M47" s="156"/>
      <c r="N47" s="156"/>
      <c r="O47" s="156"/>
      <c r="P47" s="156"/>
      <c r="Q47" s="156"/>
      <c r="R47" s="156"/>
      <c r="S47" s="156"/>
      <c r="T47" s="156"/>
      <c r="U47" s="157"/>
      <c r="V47" s="88"/>
      <c r="W47" s="88">
        <v>28</v>
      </c>
      <c r="X47" s="178">
        <f t="shared" si="42"/>
        <v>4.4999999999999991</v>
      </c>
      <c r="Y47" s="84">
        <f t="shared" si="26"/>
        <v>4.6666666666666661</v>
      </c>
      <c r="Z47" s="84">
        <f t="shared" si="27"/>
        <v>4.5833333333333321</v>
      </c>
      <c r="AA47" s="178">
        <f t="shared" si="28"/>
        <v>1.6110500000000001</v>
      </c>
      <c r="AB47" s="178">
        <f t="shared" si="29"/>
        <v>0.14583333333333331</v>
      </c>
      <c r="AC47" s="181">
        <f t="shared" si="30"/>
        <v>4.833333333333333</v>
      </c>
      <c r="AD47" s="181">
        <f t="shared" si="43"/>
        <v>1.5304975000000001</v>
      </c>
      <c r="AE47" s="181">
        <f t="shared" si="43"/>
        <v>1.3693925</v>
      </c>
      <c r="AF47" s="181">
        <f t="shared" si="43"/>
        <v>1.2082875</v>
      </c>
      <c r="AG47" s="181">
        <f t="shared" si="43"/>
        <v>1.0471824999999999</v>
      </c>
      <c r="AH47" s="181">
        <f t="shared" si="43"/>
        <v>0.88607749999999985</v>
      </c>
      <c r="AI47" s="181">
        <f t="shared" si="43"/>
        <v>0.7249724999999998</v>
      </c>
      <c r="AJ47" s="181">
        <f t="shared" si="43"/>
        <v>0.56386749999999974</v>
      </c>
      <c r="AK47" s="181">
        <f t="shared" si="43"/>
        <v>0.40276250000000058</v>
      </c>
      <c r="AL47" s="181">
        <f t="shared" si="43"/>
        <v>0.24165750000000052</v>
      </c>
      <c r="AM47" s="181">
        <f t="shared" si="43"/>
        <v>8.0552500000000471E-2</v>
      </c>
      <c r="AN47" s="181">
        <f t="shared" si="43"/>
        <v>0</v>
      </c>
      <c r="AO47" s="168">
        <f t="shared" si="31"/>
        <v>0.161105</v>
      </c>
      <c r="AP47" s="181">
        <f t="shared" si="32"/>
        <v>1.4652166666666668</v>
      </c>
      <c r="AQ47" s="181">
        <f t="shared" si="45"/>
        <v>128.07130795847752</v>
      </c>
      <c r="AR47" s="181">
        <f t="shared" si="45"/>
        <v>102.52800000000001</v>
      </c>
      <c r="AS47" s="181">
        <f t="shared" si="44"/>
        <v>79.822837370242198</v>
      </c>
      <c r="AT47" s="181">
        <f t="shared" si="44"/>
        <v>59.955820069204144</v>
      </c>
      <c r="AU47" s="181">
        <f t="shared" si="44"/>
        <v>42.926948096885795</v>
      </c>
      <c r="AV47" s="181">
        <f t="shared" si="44"/>
        <v>28.736221453287179</v>
      </c>
      <c r="AW47" s="181">
        <f t="shared" si="44"/>
        <v>17.383640138408289</v>
      </c>
      <c r="AX47" s="181">
        <f t="shared" si="44"/>
        <v>8.8692041522491589</v>
      </c>
      <c r="AY47" s="181">
        <f t="shared" si="44"/>
        <v>3.1929134948097029</v>
      </c>
      <c r="AZ47" s="181">
        <f t="shared" si="44"/>
        <v>0.35476816608996953</v>
      </c>
      <c r="BA47" s="181">
        <f t="shared" si="44"/>
        <v>0</v>
      </c>
      <c r="BB47" s="181">
        <f t="shared" si="33"/>
        <v>3.4388213447750866</v>
      </c>
      <c r="BC47" s="181">
        <f t="shared" si="33"/>
        <v>2.75296224</v>
      </c>
      <c r="BD47" s="181">
        <f t="shared" si="33"/>
        <v>2.1433097024221448</v>
      </c>
      <c r="BE47" s="181">
        <f t="shared" si="33"/>
        <v>1.6098637320415221</v>
      </c>
      <c r="BF47" s="181">
        <f t="shared" si="33"/>
        <v>1.1526243288581308</v>
      </c>
      <c r="BG47" s="181">
        <f t="shared" si="33"/>
        <v>0.77159149287197171</v>
      </c>
      <c r="BH47" s="181">
        <f t="shared" si="33"/>
        <v>0.46676522408304455</v>
      </c>
      <c r="BI47" s="181">
        <f t="shared" si="33"/>
        <v>0.2381455224913501</v>
      </c>
      <c r="BJ47" s="181">
        <f t="shared" si="33"/>
        <v>8.5732388096886186E-2</v>
      </c>
      <c r="BK47" s="181">
        <f t="shared" si="33"/>
        <v>9.5258208996540899E-3</v>
      </c>
      <c r="BL47" s="181">
        <f t="shared" si="33"/>
        <v>0</v>
      </c>
      <c r="BM47" s="191">
        <f t="shared" si="34"/>
        <v>12.669341796539792</v>
      </c>
      <c r="BN47" s="191">
        <f t="shared" si="6"/>
        <v>0.22448912307137128</v>
      </c>
      <c r="BO47" s="191">
        <f t="shared" si="7"/>
        <v>-0.26380031251280045</v>
      </c>
      <c r="BP47" s="191">
        <f t="shared" si="8"/>
        <v>-0.55067877575190338</v>
      </c>
      <c r="BQ47" s="191">
        <f t="shared" si="9"/>
        <v>-0.67297804367086811</v>
      </c>
      <c r="BR47" s="191">
        <f t="shared" si="10"/>
        <v>-0.6675298932946242</v>
      </c>
      <c r="BS47" s="191">
        <f t="shared" si="11"/>
        <v>-0.57116610164810222</v>
      </c>
      <c r="BT47" s="191">
        <f t="shared" si="12"/>
        <v>-0.42071844575623235</v>
      </c>
      <c r="BU47" s="191">
        <f t="shared" si="13"/>
        <v>-0.25301870264394521</v>
      </c>
      <c r="BV47" s="191">
        <f t="shared" si="14"/>
        <v>-0.10489864933616928</v>
      </c>
      <c r="BW47" s="191">
        <f t="shared" si="15"/>
        <v>-1.3190062857835444E-2</v>
      </c>
      <c r="BX47" s="191">
        <f t="shared" si="16"/>
        <v>0</v>
      </c>
      <c r="BY47" s="191">
        <f t="shared" si="35"/>
        <v>-3.2934898644011095</v>
      </c>
      <c r="CH47" s="178">
        <f t="shared" si="17"/>
        <v>2.4305555555555552E-2</v>
      </c>
      <c r="CI47" s="181">
        <f t="shared" si="18"/>
        <v>0.2442027777777778</v>
      </c>
      <c r="CJ47" s="182">
        <f t="shared" si="36"/>
        <v>2.4305555555555552E-2</v>
      </c>
      <c r="CK47" s="162">
        <f t="shared" si="37"/>
        <v>0.1221013888888889</v>
      </c>
      <c r="CL47" s="181">
        <f t="shared" si="38"/>
        <v>0.14640694444444446</v>
      </c>
      <c r="CM47" s="180">
        <f t="shared" si="19"/>
        <v>4.4444349204172277E-2</v>
      </c>
      <c r="CN47" s="180">
        <f t="shared" si="20"/>
        <v>0.22327063266207992</v>
      </c>
      <c r="CO47" s="180">
        <f t="shared" si="21"/>
        <v>0.2677149818662522</v>
      </c>
      <c r="CP47" s="183">
        <f t="shared" si="22"/>
        <v>3.2407337961375617E-3</v>
      </c>
      <c r="CQ47" s="183">
        <f t="shared" si="23"/>
        <v>-0.10904661738456352</v>
      </c>
      <c r="CR47" s="186">
        <f t="shared" si="39"/>
        <v>-0.10580588358842595</v>
      </c>
      <c r="CS47" s="180">
        <f>SUM($CR$19:CR47)</f>
        <v>-1.9799128970555355</v>
      </c>
      <c r="CT47" s="181">
        <f t="shared" si="24"/>
        <v>12.663567086866486</v>
      </c>
      <c r="CU47" s="181">
        <f t="shared" si="25"/>
        <v>-5.0048745709592328</v>
      </c>
      <c r="CV47" s="188">
        <f t="shared" si="40"/>
        <v>76.016050779238753</v>
      </c>
      <c r="CW47" s="188">
        <f t="shared" si="41"/>
        <v>-3.2934898644011095</v>
      </c>
    </row>
    <row r="48" spans="1:101" s="77" customFormat="1" ht="12.75" x14ac:dyDescent="0.2">
      <c r="A48" s="172">
        <v>3</v>
      </c>
      <c r="I48" s="73"/>
      <c r="J48" s="73"/>
      <c r="K48" s="172">
        <v>5</v>
      </c>
      <c r="L48" s="157"/>
      <c r="M48" s="156"/>
      <c r="N48" s="156"/>
      <c r="O48" s="156"/>
      <c r="P48" s="156"/>
      <c r="Q48" s="156"/>
      <c r="R48" s="156"/>
      <c r="S48" s="156"/>
      <c r="T48" s="156"/>
      <c r="U48" s="157"/>
      <c r="V48" s="88"/>
      <c r="W48" s="88">
        <v>29</v>
      </c>
      <c r="X48" s="178">
        <f t="shared" si="42"/>
        <v>4.6666666666666661</v>
      </c>
      <c r="Y48" s="84">
        <f t="shared" si="26"/>
        <v>4.833333333333333</v>
      </c>
      <c r="Z48" s="84">
        <f t="shared" si="27"/>
        <v>4.75</v>
      </c>
      <c r="AA48" s="178">
        <f t="shared" si="28"/>
        <v>1.63327</v>
      </c>
      <c r="AB48" s="178">
        <f t="shared" si="29"/>
        <v>0.14749999999999999</v>
      </c>
      <c r="AC48" s="181">
        <f t="shared" si="30"/>
        <v>4.9000000000000004</v>
      </c>
      <c r="AD48" s="181">
        <f t="shared" si="43"/>
        <v>1.5516065000000001</v>
      </c>
      <c r="AE48" s="181">
        <f t="shared" si="43"/>
        <v>1.3882794999999999</v>
      </c>
      <c r="AF48" s="181">
        <f t="shared" si="43"/>
        <v>1.2249525000000001</v>
      </c>
      <c r="AG48" s="181">
        <f t="shared" si="43"/>
        <v>1.0616254999999999</v>
      </c>
      <c r="AH48" s="181">
        <f t="shared" si="43"/>
        <v>0.89829850000000011</v>
      </c>
      <c r="AI48" s="181">
        <f t="shared" si="43"/>
        <v>0.73497150000000033</v>
      </c>
      <c r="AJ48" s="181">
        <f t="shared" si="43"/>
        <v>0.57164449999999967</v>
      </c>
      <c r="AK48" s="181">
        <f t="shared" si="43"/>
        <v>0.40831749999999989</v>
      </c>
      <c r="AL48" s="181">
        <f t="shared" si="43"/>
        <v>0.24499050000000011</v>
      </c>
      <c r="AM48" s="181">
        <f t="shared" si="43"/>
        <v>8.1663500000000333E-2</v>
      </c>
      <c r="AN48" s="181">
        <f t="shared" si="43"/>
        <v>0</v>
      </c>
      <c r="AO48" s="168">
        <f t="shared" si="31"/>
        <v>0.163327</v>
      </c>
      <c r="AP48" s="181">
        <f t="shared" si="32"/>
        <v>1.48577</v>
      </c>
      <c r="AQ48" s="181">
        <f t="shared" si="45"/>
        <v>128.07130795847752</v>
      </c>
      <c r="AR48" s="181">
        <f t="shared" si="45"/>
        <v>102.52800000000001</v>
      </c>
      <c r="AS48" s="181">
        <f t="shared" si="44"/>
        <v>79.822837370242254</v>
      </c>
      <c r="AT48" s="181">
        <f t="shared" si="44"/>
        <v>59.955820069204144</v>
      </c>
      <c r="AU48" s="181">
        <f t="shared" si="44"/>
        <v>42.926948096885823</v>
      </c>
      <c r="AV48" s="181">
        <f t="shared" si="44"/>
        <v>28.736221453287222</v>
      </c>
      <c r="AW48" s="181">
        <f t="shared" si="44"/>
        <v>17.383640138408289</v>
      </c>
      <c r="AX48" s="181">
        <f t="shared" si="44"/>
        <v>8.8692041522491323</v>
      </c>
      <c r="AY48" s="181">
        <f t="shared" si="44"/>
        <v>3.1929134948096922</v>
      </c>
      <c r="AZ48" s="181">
        <f t="shared" si="44"/>
        <v>0.35476816608996831</v>
      </c>
      <c r="BA48" s="181">
        <f t="shared" si="44"/>
        <v>0</v>
      </c>
      <c r="BB48" s="181">
        <f t="shared" si="33"/>
        <v>3.4862504191557093</v>
      </c>
      <c r="BC48" s="181">
        <f t="shared" si="33"/>
        <v>2.7909317759999999</v>
      </c>
      <c r="BD48" s="181">
        <f t="shared" si="33"/>
        <v>2.1728707598615924</v>
      </c>
      <c r="BE48" s="181">
        <f t="shared" si="33"/>
        <v>1.632067370740484</v>
      </c>
      <c r="BF48" s="181">
        <f t="shared" si="33"/>
        <v>1.1685216086366783</v>
      </c>
      <c r="BG48" s="181">
        <f t="shared" si="33"/>
        <v>0.78223347355017359</v>
      </c>
      <c r="BH48" s="181">
        <f t="shared" si="33"/>
        <v>0.47320296548096841</v>
      </c>
      <c r="BI48" s="181">
        <f t="shared" si="33"/>
        <v>0.24143008442906566</v>
      </c>
      <c r="BJ48" s="181">
        <f t="shared" si="33"/>
        <v>8.6914830394463766E-2</v>
      </c>
      <c r="BK48" s="181">
        <f t="shared" si="33"/>
        <v>9.6572033771627087E-3</v>
      </c>
      <c r="BL48" s="181">
        <f t="shared" si="33"/>
        <v>0</v>
      </c>
      <c r="BM48" s="191">
        <f t="shared" si="34"/>
        <v>12.8440804916263</v>
      </c>
      <c r="BN48" s="191">
        <f t="shared" si="6"/>
        <v>0.22952252572074511</v>
      </c>
      <c r="BO48" s="191">
        <f t="shared" si="7"/>
        <v>-0.27208933430812837</v>
      </c>
      <c r="BP48" s="191">
        <f t="shared" si="8"/>
        <v>-0.56672271941020069</v>
      </c>
      <c r="BQ48" s="191">
        <f t="shared" si="9"/>
        <v>-0.69223239892903743</v>
      </c>
      <c r="BR48" s="191">
        <f t="shared" si="10"/>
        <v>-0.68647314220820232</v>
      </c>
      <c r="BS48" s="191">
        <f t="shared" si="11"/>
        <v>-0.58729971859125973</v>
      </c>
      <c r="BT48" s="191">
        <f t="shared" si="12"/>
        <v>-0.43256689742177318</v>
      </c>
      <c r="BU48" s="191">
        <f t="shared" si="13"/>
        <v>-0.2601294480433079</v>
      </c>
      <c r="BV48" s="191">
        <f t="shared" si="14"/>
        <v>-0.10784213979942754</v>
      </c>
      <c r="BW48" s="191">
        <f t="shared" si="15"/>
        <v>-1.3559742033696108E-2</v>
      </c>
      <c r="BX48" s="191">
        <f t="shared" si="16"/>
        <v>0</v>
      </c>
      <c r="BY48" s="191">
        <f t="shared" si="35"/>
        <v>-3.3893930150242881</v>
      </c>
      <c r="CH48" s="178">
        <f t="shared" si="17"/>
        <v>2.4583333333333332E-2</v>
      </c>
      <c r="CI48" s="181">
        <f t="shared" si="18"/>
        <v>0.24762833333333334</v>
      </c>
      <c r="CJ48" s="182">
        <f t="shared" si="36"/>
        <v>2.4583333333333332E-2</v>
      </c>
      <c r="CK48" s="162">
        <f t="shared" si="37"/>
        <v>0.12381416666666667</v>
      </c>
      <c r="CL48" s="181">
        <f t="shared" si="38"/>
        <v>0.14839750000000002</v>
      </c>
      <c r="CM48" s="180">
        <f t="shared" si="19"/>
        <v>4.4952284623648538E-2</v>
      </c>
      <c r="CN48" s="180">
        <f t="shared" si="20"/>
        <v>0.22640256245857049</v>
      </c>
      <c r="CO48" s="180">
        <f t="shared" si="21"/>
        <v>0.27135484708221908</v>
      </c>
      <c r="CP48" s="183">
        <f t="shared" si="22"/>
        <v>3.3152309909940795E-3</v>
      </c>
      <c r="CQ48" s="183">
        <f t="shared" si="23"/>
        <v>-0.11212737840802343</v>
      </c>
      <c r="CR48" s="186">
        <f t="shared" si="39"/>
        <v>-0.10881214741702935</v>
      </c>
      <c r="CS48" s="180">
        <f>SUM($CR$19:CR48)</f>
        <v>-2.0887250444725649</v>
      </c>
      <c r="CT48" s="181">
        <f t="shared" si="24"/>
        <v>12.835741527864251</v>
      </c>
      <c r="CU48" s="181">
        <f t="shared" si="25"/>
        <v>-5.1470781316600629</v>
      </c>
      <c r="CV48" s="188">
        <f t="shared" si="40"/>
        <v>77.064482949757803</v>
      </c>
      <c r="CW48" s="188">
        <f t="shared" si="41"/>
        <v>-3.3893930150242881</v>
      </c>
    </row>
    <row r="49" spans="1:101" s="77" customFormat="1" ht="12.75" x14ac:dyDescent="0.2">
      <c r="A49" s="171" t="s">
        <v>136</v>
      </c>
      <c r="B49" s="92"/>
      <c r="D49" s="88"/>
      <c r="E49" s="80" t="s">
        <v>214</v>
      </c>
      <c r="F49" s="174">
        <v>5</v>
      </c>
      <c r="G49" s="73" t="s">
        <v>136</v>
      </c>
      <c r="I49" s="73"/>
      <c r="J49" s="73"/>
      <c r="K49" s="83" t="s">
        <v>136</v>
      </c>
      <c r="L49" s="157"/>
      <c r="M49" s="156"/>
      <c r="N49" s="156"/>
      <c r="O49" s="156"/>
      <c r="P49" s="156"/>
      <c r="Q49" s="156"/>
      <c r="R49" s="156"/>
      <c r="S49" s="156"/>
      <c r="T49" s="156"/>
      <c r="U49" s="157"/>
      <c r="V49" s="88"/>
      <c r="W49" s="88">
        <v>30</v>
      </c>
      <c r="X49" s="178">
        <f t="shared" si="42"/>
        <v>4.833333333333333</v>
      </c>
      <c r="Y49" s="84">
        <f t="shared" si="26"/>
        <v>5</v>
      </c>
      <c r="Z49" s="84">
        <f t="shared" si="27"/>
        <v>4.9166666666666661</v>
      </c>
      <c r="AA49" s="178">
        <f t="shared" si="28"/>
        <v>1.6554899999999999</v>
      </c>
      <c r="AB49" s="178">
        <f t="shared" si="29"/>
        <v>0.14916666666666667</v>
      </c>
      <c r="AC49" s="181">
        <f t="shared" si="30"/>
        <v>4.9666666666666668</v>
      </c>
      <c r="AD49" s="181">
        <f t="shared" si="43"/>
        <v>1.5727155000000002</v>
      </c>
      <c r="AE49" s="181">
        <f t="shared" si="43"/>
        <v>1.4071664999999998</v>
      </c>
      <c r="AF49" s="181">
        <f t="shared" si="43"/>
        <v>1.2416174999999998</v>
      </c>
      <c r="AG49" s="181">
        <f t="shared" si="43"/>
        <v>1.0760684999999999</v>
      </c>
      <c r="AH49" s="181">
        <f t="shared" si="43"/>
        <v>0.91051950000000037</v>
      </c>
      <c r="AI49" s="181">
        <f t="shared" si="43"/>
        <v>0.74497049999999998</v>
      </c>
      <c r="AJ49" s="181">
        <f t="shared" si="43"/>
        <v>0.57942150000000048</v>
      </c>
      <c r="AK49" s="181">
        <f t="shared" si="43"/>
        <v>0.41387250000000009</v>
      </c>
      <c r="AL49" s="181">
        <f t="shared" si="43"/>
        <v>0.24832350000000059</v>
      </c>
      <c r="AM49" s="181">
        <f t="shared" si="43"/>
        <v>8.2774500000000195E-2</v>
      </c>
      <c r="AN49" s="181">
        <f t="shared" si="43"/>
        <v>0</v>
      </c>
      <c r="AO49" s="168">
        <f t="shared" si="31"/>
        <v>0.165549</v>
      </c>
      <c r="AP49" s="181">
        <f t="shared" si="32"/>
        <v>1.5063233333333332</v>
      </c>
      <c r="AQ49" s="181">
        <f t="shared" si="45"/>
        <v>128.07130795847758</v>
      </c>
      <c r="AR49" s="181">
        <f t="shared" si="45"/>
        <v>102.52799999999998</v>
      </c>
      <c r="AS49" s="181">
        <f t="shared" si="44"/>
        <v>79.822837370242198</v>
      </c>
      <c r="AT49" s="181">
        <f t="shared" si="44"/>
        <v>59.955820069204144</v>
      </c>
      <c r="AU49" s="181">
        <f t="shared" si="44"/>
        <v>42.926948096885859</v>
      </c>
      <c r="AV49" s="181">
        <f t="shared" si="44"/>
        <v>28.7362214532872</v>
      </c>
      <c r="AW49" s="181">
        <f t="shared" si="44"/>
        <v>17.383640138408339</v>
      </c>
      <c r="AX49" s="181">
        <f t="shared" si="44"/>
        <v>8.8692041522491394</v>
      </c>
      <c r="AY49" s="181">
        <f t="shared" si="44"/>
        <v>3.1929134948097042</v>
      </c>
      <c r="AZ49" s="181">
        <f t="shared" si="44"/>
        <v>0.35476816608996714</v>
      </c>
      <c r="BA49" s="181">
        <f t="shared" si="44"/>
        <v>0</v>
      </c>
      <c r="BB49" s="181">
        <f t="shared" si="33"/>
        <v>3.5336794935363338</v>
      </c>
      <c r="BC49" s="181">
        <f t="shared" si="33"/>
        <v>2.8289013119999993</v>
      </c>
      <c r="BD49" s="181">
        <f t="shared" si="33"/>
        <v>2.2024318173010373</v>
      </c>
      <c r="BE49" s="181">
        <f t="shared" si="33"/>
        <v>1.6542710094394459</v>
      </c>
      <c r="BF49" s="181">
        <f t="shared" si="33"/>
        <v>1.184418888415226</v>
      </c>
      <c r="BG49" s="181">
        <f t="shared" si="33"/>
        <v>0.79287545422837369</v>
      </c>
      <c r="BH49" s="181">
        <f t="shared" si="33"/>
        <v>0.47964070687889365</v>
      </c>
      <c r="BI49" s="181">
        <f t="shared" si="33"/>
        <v>0.24471464636678211</v>
      </c>
      <c r="BJ49" s="181">
        <f t="shared" si="33"/>
        <v>8.8097272692041942E-2</v>
      </c>
      <c r="BK49" s="181">
        <f t="shared" si="33"/>
        <v>9.7885858546713275E-3</v>
      </c>
      <c r="BL49" s="181">
        <f t="shared" si="33"/>
        <v>0</v>
      </c>
      <c r="BM49" s="191">
        <f t="shared" si="34"/>
        <v>13.018819186712808</v>
      </c>
      <c r="BN49" s="191">
        <f t="shared" si="6"/>
        <v>0.23460863788144742</v>
      </c>
      <c r="BO49" s="191">
        <f t="shared" si="7"/>
        <v>-0.28050489591043232</v>
      </c>
      <c r="BP49" s="191">
        <f t="shared" si="8"/>
        <v>-0.58299654955851898</v>
      </c>
      <c r="BQ49" s="191">
        <f t="shared" si="9"/>
        <v>-0.711758097454534</v>
      </c>
      <c r="BR49" s="191">
        <f t="shared" si="10"/>
        <v>-0.70568131399019673</v>
      </c>
      <c r="BS49" s="191">
        <f t="shared" si="11"/>
        <v>-0.60365797355722595</v>
      </c>
      <c r="BT49" s="191">
        <f t="shared" si="12"/>
        <v>-0.44457985054734217</v>
      </c>
      <c r="BU49" s="191">
        <f t="shared" si="13"/>
        <v>-0.26733871935226305</v>
      </c>
      <c r="BV49" s="191">
        <f t="shared" si="14"/>
        <v>-0.11082635436370993</v>
      </c>
      <c r="BW49" s="191">
        <f t="shared" si="15"/>
        <v>-1.3934529973400535E-2</v>
      </c>
      <c r="BX49" s="191">
        <f t="shared" si="16"/>
        <v>0</v>
      </c>
      <c r="BY49" s="191">
        <f t="shared" si="35"/>
        <v>-3.4866696468261762</v>
      </c>
      <c r="CH49" s="178">
        <f t="shared" si="17"/>
        <v>2.4861111111111112E-2</v>
      </c>
      <c r="CI49" s="181">
        <f t="shared" si="18"/>
        <v>0.25105388888888885</v>
      </c>
      <c r="CJ49" s="182">
        <f t="shared" si="36"/>
        <v>2.4861111111111112E-2</v>
      </c>
      <c r="CK49" s="162">
        <f t="shared" si="37"/>
        <v>0.12552694444444443</v>
      </c>
      <c r="CL49" s="181">
        <f t="shared" si="38"/>
        <v>0.15038805555555554</v>
      </c>
      <c r="CM49" s="180">
        <f t="shared" si="19"/>
        <v>4.5460220043124798E-2</v>
      </c>
      <c r="CN49" s="180">
        <f t="shared" si="20"/>
        <v>0.22953449225506103</v>
      </c>
      <c r="CO49" s="180">
        <f t="shared" si="21"/>
        <v>0.27499471229818584</v>
      </c>
      <c r="CP49" s="183">
        <f t="shared" si="22"/>
        <v>3.3905747448830579E-3</v>
      </c>
      <c r="CQ49" s="183">
        <f t="shared" si="23"/>
        <v>-0.11525105382953922</v>
      </c>
      <c r="CR49" s="186">
        <f t="shared" si="39"/>
        <v>-0.11186047908465617</v>
      </c>
      <c r="CS49" s="180">
        <f>SUM($CR$19:CR49)</f>
        <v>-2.2005855235572209</v>
      </c>
      <c r="CT49" s="181">
        <f t="shared" si="24"/>
        <v>13.007915968862008</v>
      </c>
      <c r="CU49" s="181">
        <f t="shared" si="25"/>
        <v>-5.2912716030411211</v>
      </c>
      <c r="CV49" s="188">
        <f t="shared" si="40"/>
        <v>78.112915120276853</v>
      </c>
      <c r="CW49" s="188">
        <f t="shared" si="41"/>
        <v>-3.4866696468261762</v>
      </c>
    </row>
    <row r="50" spans="1:101" s="77" customFormat="1" ht="12.75" x14ac:dyDescent="0.2">
      <c r="B50" s="80"/>
      <c r="C50" s="95"/>
      <c r="D50" s="110"/>
      <c r="E50" s="76"/>
      <c r="F50" s="96"/>
      <c r="I50" s="97"/>
      <c r="J50" s="73"/>
      <c r="K50" s="73"/>
      <c r="L50" s="157"/>
      <c r="M50" s="156"/>
      <c r="N50" s="156"/>
      <c r="O50" s="156"/>
      <c r="P50" s="156"/>
      <c r="Q50" s="156"/>
      <c r="R50" s="156"/>
      <c r="S50" s="156"/>
      <c r="T50" s="156"/>
      <c r="U50" s="157"/>
      <c r="V50" s="88"/>
      <c r="W50" s="88"/>
      <c r="X50" s="157"/>
      <c r="Y50" s="83"/>
      <c r="Z50" s="160"/>
      <c r="AA50" s="165"/>
      <c r="AB50" s="160"/>
      <c r="BM50" s="191"/>
      <c r="BN50" s="191"/>
      <c r="BO50" s="191"/>
      <c r="BP50" s="191"/>
      <c r="BQ50" s="191"/>
      <c r="BR50" s="191"/>
      <c r="BS50" s="191"/>
      <c r="BT50" s="191"/>
      <c r="BU50" s="191"/>
      <c r="BV50" s="191"/>
      <c r="BW50" s="191"/>
      <c r="BX50" s="191"/>
      <c r="BY50" s="191"/>
      <c r="CH50" s="83"/>
      <c r="CI50" s="83"/>
      <c r="CJ50" s="83"/>
      <c r="CK50" s="83"/>
      <c r="CN50" s="83"/>
      <c r="CO50" s="83"/>
      <c r="CP50" s="73"/>
    </row>
    <row r="51" spans="1:101" s="77" customFormat="1" ht="12.75" x14ac:dyDescent="0.2">
      <c r="L51" s="157"/>
      <c r="M51" s="156"/>
      <c r="N51" s="156"/>
      <c r="O51" s="156"/>
      <c r="P51" s="156"/>
      <c r="Q51" s="156"/>
      <c r="R51" s="156"/>
      <c r="S51" s="156"/>
      <c r="T51" s="156"/>
      <c r="U51" s="157"/>
      <c r="V51" s="88"/>
      <c r="W51" s="88"/>
      <c r="X51" s="157"/>
      <c r="Y51" s="83"/>
      <c r="Z51" s="73"/>
      <c r="AA51" s="164"/>
      <c r="AB51" s="76" t="s">
        <v>163</v>
      </c>
      <c r="BM51" s="191"/>
      <c r="BN51" s="191"/>
      <c r="BO51" s="191"/>
      <c r="BP51" s="191"/>
      <c r="BQ51" s="191"/>
      <c r="BR51" s="191"/>
      <c r="BS51" s="191"/>
      <c r="BT51" s="191"/>
      <c r="BU51" s="191"/>
      <c r="BV51" s="191"/>
      <c r="BW51" s="191"/>
      <c r="BX51" s="191"/>
      <c r="BY51" s="191"/>
      <c r="CH51" s="84">
        <f>SUM(CH20:CH49)</f>
        <v>0.625</v>
      </c>
      <c r="CI51" s="84">
        <f>SUM(CI20:CI49)</f>
        <v>6.0414999999999992</v>
      </c>
      <c r="CJ51" s="83"/>
      <c r="CK51" s="83"/>
      <c r="CL51" s="184">
        <f>SUM(CL20:CL49)</f>
        <v>3.6457499999999996</v>
      </c>
      <c r="CM51" s="184"/>
      <c r="CN51" s="73"/>
      <c r="CO51" s="184">
        <f>SUM(CO20:CO49)</f>
        <v>6.6664999999999992</v>
      </c>
      <c r="CR51" s="184">
        <f>SUM(CR20:CR49)</f>
        <v>-2.2005855235572209</v>
      </c>
      <c r="CT51" s="184">
        <f>SUM(CT20:CT49)</f>
        <v>315.34159723183382</v>
      </c>
      <c r="CU51" s="184">
        <f>SUM(CU20:CU49)</f>
        <v>-104.09302540220291</v>
      </c>
    </row>
    <row r="52" spans="1:101" s="77" customFormat="1" ht="12.75" x14ac:dyDescent="0.2">
      <c r="A52" s="73"/>
      <c r="L52" s="157"/>
      <c r="M52" s="156"/>
      <c r="N52" s="156"/>
      <c r="O52" s="156"/>
      <c r="P52" s="156"/>
      <c r="Q52" s="156"/>
      <c r="R52" s="156"/>
      <c r="S52" s="156"/>
      <c r="T52" s="156"/>
      <c r="U52" s="157"/>
      <c r="V52" s="88"/>
      <c r="W52" s="88"/>
      <c r="X52" s="157"/>
      <c r="Y52" s="73"/>
      <c r="Z52" s="73"/>
      <c r="AA52" s="73"/>
      <c r="AB52" s="73"/>
      <c r="BM52" s="191">
        <f>SUM(BM20:BM49)</f>
        <v>314.55324323875436</v>
      </c>
      <c r="BN52" s="191"/>
      <c r="BO52" s="191"/>
      <c r="BP52" s="191"/>
      <c r="BQ52" s="191"/>
      <c r="BR52" s="191"/>
      <c r="BS52" s="191"/>
      <c r="BT52" s="191"/>
      <c r="BU52" s="191"/>
      <c r="BV52" s="191"/>
      <c r="BW52" s="191"/>
      <c r="BX52" s="191"/>
      <c r="BY52" s="191">
        <f>SUM(BY20:BY49)</f>
        <v>-67.861088156515564</v>
      </c>
      <c r="CH52" s="73"/>
      <c r="CI52" s="73"/>
      <c r="CJ52" s="73"/>
      <c r="CK52" s="73"/>
      <c r="CL52" s="73"/>
      <c r="CM52" s="73"/>
      <c r="CN52" s="73"/>
      <c r="CT52" s="184"/>
    </row>
    <row r="53" spans="1:101" s="77" customFormat="1" ht="12.75" x14ac:dyDescent="0.2">
      <c r="A53" s="73"/>
      <c r="B53" s="82"/>
      <c r="C53" s="86"/>
      <c r="D53" s="161"/>
      <c r="E53" s="84"/>
      <c r="F53" s="88"/>
      <c r="G53" s="73"/>
      <c r="H53" s="84"/>
      <c r="I53" s="88"/>
      <c r="J53" s="87"/>
      <c r="K53" s="87"/>
      <c r="L53" s="157"/>
      <c r="M53" s="156"/>
      <c r="N53" s="156"/>
      <c r="O53" s="156"/>
      <c r="P53" s="156"/>
      <c r="Q53" s="156"/>
      <c r="R53" s="156"/>
      <c r="S53" s="156"/>
      <c r="T53" s="156"/>
      <c r="U53" s="157"/>
      <c r="V53" s="88"/>
      <c r="W53" s="88"/>
      <c r="X53" s="157"/>
      <c r="BB53" s="168">
        <f>SUM(BB20:BL49)</f>
        <v>314.55324323875396</v>
      </c>
      <c r="CH53" s="76" t="s">
        <v>164</v>
      </c>
      <c r="CI53" s="181">
        <f>CH51+CI51</f>
        <v>6.6664999999999992</v>
      </c>
      <c r="CJ53" s="171"/>
      <c r="CK53" s="171"/>
      <c r="CL53" s="171"/>
      <c r="CM53" s="171"/>
    </row>
    <row r="54" spans="1:101" s="77" customFormat="1" ht="12.75" x14ac:dyDescent="0.2">
      <c r="B54" s="109" t="s">
        <v>215</v>
      </c>
      <c r="C54" s="77" t="str">
        <f>[1]!xln(C55)</f>
        <v>5 × (1.67 + 1) / 2</v>
      </c>
      <c r="D54" s="73"/>
      <c r="E54" s="73"/>
      <c r="F54" s="73"/>
      <c r="G54" s="76"/>
      <c r="I54" s="84"/>
      <c r="J54" s="88"/>
      <c r="K54" s="87"/>
      <c r="L54" s="157"/>
      <c r="M54" s="156"/>
      <c r="N54" s="156"/>
      <c r="O54" s="156"/>
      <c r="P54" s="156"/>
      <c r="Q54" s="156"/>
      <c r="R54" s="156"/>
      <c r="S54" s="156"/>
      <c r="T54" s="156"/>
      <c r="U54" s="157"/>
      <c r="V54" s="88"/>
      <c r="W54" s="88"/>
      <c r="X54" s="157"/>
    </row>
    <row r="55" spans="1:101" s="77" customFormat="1" ht="12.75" x14ac:dyDescent="0.2">
      <c r="A55" s="73"/>
      <c r="B55" s="76" t="s">
        <v>82</v>
      </c>
      <c r="C55" s="73">
        <f>F49*(K43+A43)/2</f>
        <v>6.6664999999999992</v>
      </c>
      <c r="D55" s="89" t="s">
        <v>193</v>
      </c>
      <c r="E55" s="82"/>
      <c r="F55" s="73"/>
      <c r="G55" s="175"/>
      <c r="H55" s="158"/>
      <c r="I55" s="101"/>
      <c r="J55" s="88"/>
      <c r="K55" s="87"/>
      <c r="L55" s="157"/>
      <c r="M55" s="156"/>
      <c r="N55" s="156"/>
      <c r="O55" s="156"/>
      <c r="P55" s="156"/>
      <c r="Q55" s="156"/>
      <c r="R55" s="156"/>
      <c r="S55" s="156"/>
      <c r="T55" s="156"/>
      <c r="U55" s="157"/>
      <c r="V55" s="166"/>
      <c r="W55" s="88"/>
      <c r="X55" s="157"/>
    </row>
    <row r="56" spans="1:101" s="28" customFormat="1" ht="12.75" x14ac:dyDescent="0.2">
      <c r="A56" s="5"/>
      <c r="B56" s="46"/>
      <c r="C56" s="53"/>
      <c r="D56" s="43"/>
      <c r="E56" s="49"/>
      <c r="F56" s="40"/>
      <c r="G56" s="5"/>
      <c r="H56" s="49"/>
      <c r="I56" s="40"/>
      <c r="J56" s="47"/>
      <c r="K56" s="47"/>
      <c r="L56" s="30"/>
      <c r="M56" s="27"/>
      <c r="N56" s="27"/>
      <c r="O56" s="27"/>
      <c r="P56" s="27"/>
      <c r="Q56" s="27"/>
      <c r="R56" s="27"/>
      <c r="S56" s="27"/>
      <c r="T56" s="27"/>
      <c r="U56" s="30"/>
      <c r="V56" s="5"/>
      <c r="W56" s="5"/>
      <c r="X56" s="30"/>
    </row>
    <row r="57" spans="1:101" s="28" customFormat="1" ht="12.75" x14ac:dyDescent="0.2">
      <c r="A57" s="58"/>
      <c r="B57" s="59"/>
      <c r="C57" s="60"/>
      <c r="D57" s="58"/>
      <c r="E57" s="58"/>
      <c r="F57" s="58"/>
      <c r="G57" s="60"/>
      <c r="H57" s="58"/>
      <c r="I57" s="58"/>
      <c r="J57" s="58"/>
      <c r="K57" s="58"/>
      <c r="L57" s="30"/>
      <c r="M57" s="27"/>
      <c r="N57" s="27"/>
      <c r="O57" s="27"/>
      <c r="P57" s="27"/>
      <c r="Q57" s="27"/>
      <c r="R57" s="27"/>
      <c r="S57" s="27"/>
      <c r="T57" s="27"/>
      <c r="U57" s="30"/>
      <c r="V57" s="30"/>
      <c r="W57" s="30"/>
      <c r="X57" s="30"/>
    </row>
    <row r="58" spans="1:101" s="28" customFormat="1" ht="12.75" x14ac:dyDescent="0.2">
      <c r="A58" s="58"/>
      <c r="B58" s="59"/>
      <c r="C58" s="60"/>
      <c r="D58" s="58"/>
      <c r="E58" s="58"/>
      <c r="F58" s="58"/>
      <c r="G58" s="60"/>
      <c r="H58" s="58"/>
      <c r="I58" s="58"/>
      <c r="J58" s="58"/>
      <c r="K58" s="58"/>
      <c r="L58" s="30"/>
      <c r="M58" s="27"/>
      <c r="N58" s="27"/>
      <c r="O58" s="27"/>
      <c r="P58" s="27"/>
      <c r="Q58" s="27"/>
      <c r="R58" s="27"/>
      <c r="S58" s="27"/>
      <c r="T58" s="27"/>
      <c r="U58" s="30"/>
      <c r="V58" s="30"/>
      <c r="W58" s="30"/>
      <c r="X58" s="30"/>
    </row>
    <row r="59" spans="1:101" s="28" customFormat="1" ht="12.75" x14ac:dyDescent="0.2">
      <c r="A59" s="58"/>
      <c r="B59" s="59"/>
      <c r="C59" s="60"/>
      <c r="D59" s="58"/>
      <c r="E59" s="58"/>
      <c r="F59" s="58"/>
      <c r="G59" s="60"/>
      <c r="H59" s="58"/>
      <c r="I59" s="58"/>
      <c r="J59" s="58"/>
      <c r="K59" s="58"/>
      <c r="L59" s="30"/>
      <c r="M59" s="27"/>
      <c r="N59" s="27"/>
      <c r="O59" s="27"/>
      <c r="P59" s="27"/>
      <c r="Q59" s="27"/>
      <c r="R59" s="27"/>
      <c r="S59" s="27"/>
      <c r="T59" s="27"/>
      <c r="U59" s="30"/>
      <c r="V59" s="30"/>
      <c r="W59" s="30"/>
      <c r="X59" s="30"/>
    </row>
    <row r="60" spans="1:101" s="28" customFormat="1" ht="12.75" x14ac:dyDescent="0.2">
      <c r="A60" s="58"/>
      <c r="B60" s="59"/>
      <c r="C60" s="60"/>
      <c r="D60" s="58"/>
      <c r="E60" s="58"/>
      <c r="F60" s="58"/>
      <c r="G60" s="60"/>
      <c r="H60" s="58"/>
      <c r="I60" s="58"/>
      <c r="J60" s="58"/>
      <c r="K60" s="58"/>
      <c r="L60" s="30"/>
      <c r="M60" s="27"/>
      <c r="N60" s="27"/>
      <c r="O60" s="27"/>
      <c r="P60" s="27"/>
      <c r="Q60" s="27"/>
      <c r="R60" s="27"/>
      <c r="S60" s="27"/>
      <c r="T60" s="27"/>
      <c r="U60" s="30"/>
      <c r="V60" s="30"/>
      <c r="W60" s="30"/>
      <c r="X60" s="30"/>
    </row>
    <row r="61" spans="1:101" s="28" customFormat="1" ht="12.75" x14ac:dyDescent="0.2">
      <c r="A61" s="58"/>
      <c r="B61" s="59"/>
      <c r="C61" s="60"/>
      <c r="D61" s="58"/>
      <c r="E61" s="58"/>
      <c r="F61" s="58"/>
      <c r="G61" s="60"/>
      <c r="H61" s="58"/>
      <c r="I61" s="58"/>
      <c r="J61" s="58"/>
      <c r="K61" s="58"/>
      <c r="L61" s="30"/>
      <c r="M61" s="27"/>
      <c r="N61" s="27"/>
      <c r="O61" s="27"/>
      <c r="P61" s="27"/>
      <c r="Q61" s="27"/>
      <c r="R61" s="27"/>
      <c r="S61" s="27"/>
      <c r="T61" s="27"/>
      <c r="U61" s="30"/>
      <c r="V61" s="30"/>
      <c r="W61" s="30"/>
      <c r="X61" s="30"/>
    </row>
    <row r="62" spans="1:101" s="28" customFormat="1" ht="12.75" x14ac:dyDescent="0.2">
      <c r="A62" s="58"/>
      <c r="B62" s="59"/>
      <c r="C62" s="60"/>
      <c r="D62" s="58"/>
      <c r="E62" s="58"/>
      <c r="F62" s="58"/>
      <c r="G62" s="60"/>
      <c r="H62" s="58"/>
      <c r="I62" s="58"/>
      <c r="J62" s="58"/>
      <c r="K62" s="58"/>
      <c r="L62" s="30"/>
      <c r="M62" s="27"/>
      <c r="N62" s="27"/>
      <c r="O62" s="27"/>
      <c r="P62" s="27"/>
      <c r="Q62" s="27"/>
      <c r="R62" s="27"/>
      <c r="S62" s="27"/>
      <c r="T62" s="27"/>
      <c r="U62" s="30"/>
      <c r="V62" s="30"/>
      <c r="W62" s="30"/>
      <c r="X62" s="30"/>
    </row>
    <row r="63" spans="1:101" s="28" customFormat="1" ht="12.75" x14ac:dyDescent="0.2">
      <c r="A63" s="58"/>
      <c r="B63" s="59"/>
      <c r="C63" s="60"/>
      <c r="D63" s="58"/>
      <c r="E63" s="58"/>
      <c r="F63" s="58"/>
      <c r="G63" s="60"/>
      <c r="H63" s="58"/>
      <c r="I63" s="58"/>
      <c r="J63" s="58"/>
      <c r="K63" s="58"/>
      <c r="L63" s="30"/>
      <c r="M63" s="27"/>
      <c r="N63" s="27"/>
      <c r="O63" s="27"/>
      <c r="P63" s="27"/>
      <c r="Q63" s="27"/>
      <c r="R63" s="27"/>
      <c r="S63" s="27"/>
      <c r="T63" s="27"/>
      <c r="U63" s="30"/>
      <c r="V63" s="30"/>
      <c r="W63" s="30"/>
      <c r="X63" s="30"/>
    </row>
    <row r="64" spans="1:101" s="28" customFormat="1" ht="12.75" x14ac:dyDescent="0.2">
      <c r="A64" s="145" t="s">
        <v>118</v>
      </c>
      <c r="B64" s="146"/>
      <c r="C64" s="146"/>
      <c r="D64" s="146"/>
      <c r="E64" s="146"/>
      <c r="F64" s="146"/>
      <c r="G64" s="147"/>
      <c r="H64" s="147"/>
      <c r="I64" s="147"/>
      <c r="J64" s="147"/>
      <c r="K64" s="148"/>
      <c r="L64" s="30"/>
      <c r="M64" s="27"/>
      <c r="N64" s="27"/>
      <c r="O64" s="27"/>
      <c r="P64" s="27"/>
      <c r="Q64" s="27"/>
      <c r="R64" s="27"/>
      <c r="S64" s="27"/>
      <c r="T64" s="27"/>
      <c r="U64" s="30"/>
      <c r="V64" s="30"/>
      <c r="W64" s="30"/>
      <c r="X64" s="30"/>
    </row>
    <row r="65" spans="1:37" s="28" customFormat="1" ht="12.75" x14ac:dyDescent="0.2">
      <c r="A65" s="149"/>
      <c r="B65" s="149"/>
      <c r="C65" s="149"/>
      <c r="D65" s="150"/>
      <c r="E65" s="150"/>
      <c r="F65" s="151" t="s">
        <v>119</v>
      </c>
      <c r="G65" s="152" t="s">
        <v>120</v>
      </c>
      <c r="H65" s="153"/>
      <c r="I65" s="154"/>
      <c r="J65" s="154"/>
      <c r="K65" s="155"/>
      <c r="L65" s="30"/>
      <c r="M65" s="27"/>
      <c r="N65" s="27"/>
      <c r="O65" s="27"/>
      <c r="P65" s="27"/>
      <c r="Q65" s="27"/>
      <c r="R65" s="27"/>
      <c r="S65" s="27"/>
      <c r="T65" s="27"/>
      <c r="U65" s="30"/>
      <c r="V65" s="30"/>
      <c r="W65" s="30"/>
      <c r="X65" s="30"/>
    </row>
    <row r="66" spans="1:37" s="5" customFormat="1" ht="12.75" x14ac:dyDescent="0.2">
      <c r="A66" s="14" t="s">
        <v>219</v>
      </c>
      <c r="E66" s="7" t="s">
        <v>1</v>
      </c>
      <c r="F66" s="8" t="str">
        <f>$C$1</f>
        <v>R. Abbott</v>
      </c>
      <c r="H66" s="15"/>
      <c r="I66" s="7" t="s">
        <v>8</v>
      </c>
      <c r="J66" s="16" t="str">
        <f>$G$2</f>
        <v>AA-SM-515-000</v>
      </c>
      <c r="K66" s="17"/>
      <c r="L66" s="18"/>
      <c r="M66" s="9"/>
      <c r="N66" s="9"/>
      <c r="O66" s="9"/>
      <c r="P66" s="9"/>
      <c r="Q66" s="11"/>
      <c r="R66" s="12"/>
      <c r="S66" s="36"/>
      <c r="T66" s="35"/>
    </row>
    <row r="67" spans="1:37" s="5" customFormat="1" ht="12.75" x14ac:dyDescent="0.2">
      <c r="E67" s="7" t="s">
        <v>2</v>
      </c>
      <c r="F67" s="15" t="str">
        <f>$C$2</f>
        <v xml:space="preserve"> </v>
      </c>
      <c r="H67" s="15"/>
      <c r="I67" s="7" t="s">
        <v>9</v>
      </c>
      <c r="J67" s="17" t="str">
        <f>$G$3</f>
        <v>IR</v>
      </c>
      <c r="K67" s="17"/>
      <c r="L67" s="18"/>
      <c r="M67" s="9">
        <v>1</v>
      </c>
      <c r="N67" s="9"/>
      <c r="O67" s="9"/>
      <c r="P67" s="9"/>
      <c r="Q67" s="11"/>
      <c r="R67" s="12"/>
      <c r="S67" s="36"/>
      <c r="T67" s="35"/>
    </row>
    <row r="68" spans="1:37" s="5" customFormat="1" ht="12.75" x14ac:dyDescent="0.2">
      <c r="E68" s="7" t="s">
        <v>3</v>
      </c>
      <c r="F68" s="15" t="str">
        <f>$C$3</f>
        <v>05/03/2017</v>
      </c>
      <c r="H68" s="15"/>
      <c r="I68" s="7" t="s">
        <v>6</v>
      </c>
      <c r="J68" s="8" t="str">
        <f>L68&amp;" of "&amp;$G$1</f>
        <v>14 of 17</v>
      </c>
      <c r="K68" s="15"/>
      <c r="L68" s="18">
        <f>SUM($M$1:M67)</f>
        <v>14</v>
      </c>
      <c r="M68" s="9"/>
      <c r="N68" s="9"/>
      <c r="O68" s="9"/>
      <c r="P68" s="9"/>
      <c r="Q68" s="11"/>
      <c r="R68" s="12"/>
      <c r="S68" s="36"/>
      <c r="T68" s="35"/>
    </row>
    <row r="69" spans="1:37" s="5" customFormat="1" ht="12.75" x14ac:dyDescent="0.2">
      <c r="A69" s="26"/>
      <c r="B69" s="26"/>
      <c r="C69" s="26"/>
      <c r="D69" s="26"/>
      <c r="E69" s="7" t="s">
        <v>29</v>
      </c>
      <c r="F69" s="15" t="str">
        <f>$C$5</f>
        <v>STANDARD SPREADSHEET METHOD</v>
      </c>
      <c r="I69" s="19"/>
      <c r="J69" s="8"/>
      <c r="M69" s="9"/>
      <c r="N69" s="9"/>
      <c r="O69" s="9"/>
      <c r="P69" s="9"/>
      <c r="Q69" s="9"/>
      <c r="R69" s="9"/>
      <c r="S69" s="34"/>
      <c r="T69" s="35"/>
    </row>
    <row r="70" spans="1:37" s="28" customFormat="1" x14ac:dyDescent="0.25">
      <c r="A70" s="70"/>
      <c r="B70" s="21" t="str">
        <f>$G$4</f>
        <v>SIMPLIFIED PART 23 AIRCRAFT LOADS</v>
      </c>
      <c r="C70" s="71"/>
      <c r="D70" s="71"/>
      <c r="E70" s="72"/>
      <c r="F70" s="71"/>
      <c r="G70" s="71"/>
      <c r="H70" s="71"/>
      <c r="I70" s="71"/>
      <c r="J70" s="71"/>
      <c r="K70" s="71"/>
      <c r="L70" s="30"/>
      <c r="M70" s="37"/>
      <c r="N70" s="38"/>
      <c r="O70" s="38"/>
      <c r="P70" s="38"/>
      <c r="Q70" s="38"/>
      <c r="R70" s="37"/>
      <c r="S70" s="37"/>
      <c r="T70" s="39"/>
    </row>
    <row r="71" spans="1:37" s="26" customFormat="1" ht="12.75" x14ac:dyDescent="0.2">
      <c r="A71" s="73"/>
      <c r="B71" s="73" t="s">
        <v>47</v>
      </c>
      <c r="C71" s="73"/>
      <c r="D71" s="73"/>
      <c r="E71" s="73"/>
      <c r="F71" s="73"/>
      <c r="G71" s="73"/>
      <c r="H71" s="73"/>
      <c r="I71" s="73"/>
      <c r="J71" s="73"/>
      <c r="K71" s="73"/>
      <c r="L71" s="29"/>
      <c r="M71" s="27"/>
      <c r="N71" s="27"/>
      <c r="O71" s="27"/>
      <c r="P71" s="27"/>
      <c r="Q71" s="27"/>
      <c r="R71" s="27"/>
      <c r="S71" s="27"/>
      <c r="T71" s="27"/>
    </row>
    <row r="72" spans="1:37" s="26" customFormat="1" ht="12.75" x14ac:dyDescent="0.2">
      <c r="A72" s="73"/>
      <c r="B72" s="114" t="s">
        <v>210</v>
      </c>
      <c r="C72" s="73"/>
      <c r="D72" s="76"/>
      <c r="E72" s="73"/>
      <c r="F72" s="73"/>
      <c r="G72" s="77"/>
      <c r="H72" s="73"/>
      <c r="I72" s="73"/>
      <c r="J72" s="73"/>
      <c r="K72" s="73"/>
      <c r="M72" s="27"/>
      <c r="N72" s="27"/>
      <c r="O72" s="27"/>
      <c r="P72" s="27"/>
      <c r="Q72" s="27"/>
      <c r="R72" s="27"/>
      <c r="S72" s="27"/>
      <c r="T72" s="27"/>
    </row>
    <row r="73" spans="1:37" s="26" customFormat="1" ht="12.75" x14ac:dyDescent="0.2">
      <c r="B73" s="26" t="s">
        <v>186</v>
      </c>
      <c r="M73" s="27"/>
      <c r="N73" s="27"/>
      <c r="O73" s="27"/>
      <c r="P73" s="27"/>
      <c r="Q73" s="27"/>
      <c r="R73" s="27"/>
      <c r="S73" s="27"/>
      <c r="T73" s="27"/>
      <c r="V73" s="40"/>
      <c r="W73" s="40"/>
      <c r="Y73" s="5"/>
      <c r="Z73" s="5"/>
      <c r="AA73" s="5"/>
      <c r="AB73" s="5"/>
      <c r="AE73" s="7"/>
      <c r="AF73" s="5"/>
      <c r="AG73" s="5"/>
      <c r="AH73" s="5"/>
      <c r="AI73" s="5"/>
      <c r="AJ73" s="5"/>
      <c r="AK73" s="5"/>
    </row>
    <row r="74" spans="1:37" s="28" customFormat="1" ht="13.5" customHeight="1" x14ac:dyDescent="0.2">
      <c r="L74" s="30"/>
      <c r="M74" s="27"/>
      <c r="N74" s="27"/>
      <c r="O74" s="27"/>
      <c r="P74" s="27"/>
      <c r="Q74" s="27"/>
      <c r="R74" s="27"/>
      <c r="S74" s="27"/>
      <c r="T74" s="27"/>
      <c r="U74" s="30"/>
      <c r="V74" s="40"/>
      <c r="W74" s="40"/>
      <c r="X74" s="30"/>
      <c r="Y74" s="5"/>
      <c r="Z74" s="18"/>
      <c r="AA74" s="46"/>
      <c r="AB74" s="46"/>
      <c r="AE74" s="5"/>
      <c r="AF74" s="5"/>
      <c r="AG74" s="5"/>
      <c r="AH74" s="5"/>
      <c r="AI74" s="5"/>
      <c r="AJ74" s="5"/>
      <c r="AK74" s="5"/>
    </row>
    <row r="75" spans="1:37" s="28" customFormat="1" ht="12.75" x14ac:dyDescent="0.2">
      <c r="A75" s="135" t="s">
        <v>165</v>
      </c>
      <c r="E75" s="59" t="s">
        <v>194</v>
      </c>
      <c r="L75" s="30"/>
      <c r="M75" s="27"/>
      <c r="N75" s="27"/>
      <c r="O75" s="27"/>
      <c r="P75" s="27"/>
      <c r="Q75" s="27"/>
      <c r="R75" s="27"/>
      <c r="S75" s="27"/>
      <c r="T75" s="27"/>
      <c r="U75" s="30"/>
      <c r="V75" s="40"/>
      <c r="W75" s="40"/>
      <c r="X75" s="30"/>
      <c r="Y75" s="5"/>
      <c r="Z75" s="46"/>
      <c r="AA75" s="29"/>
      <c r="AB75" s="31"/>
      <c r="AE75" s="5"/>
      <c r="AF75" s="5"/>
      <c r="AG75" s="5"/>
      <c r="AH75" s="5"/>
      <c r="AI75" s="5"/>
      <c r="AJ75" s="5"/>
      <c r="AK75" s="5"/>
    </row>
    <row r="76" spans="1:37" s="28" customFormat="1" ht="12.75" x14ac:dyDescent="0.2">
      <c r="D76" s="135" t="s">
        <v>195</v>
      </c>
      <c r="L76" s="30"/>
      <c r="M76" s="27"/>
      <c r="N76" s="27"/>
      <c r="O76" s="27"/>
      <c r="P76" s="27"/>
      <c r="Q76" s="27"/>
      <c r="R76" s="27"/>
      <c r="S76" s="27"/>
      <c r="T76" s="27"/>
      <c r="U76" s="30"/>
      <c r="V76" s="40"/>
      <c r="W76" s="40"/>
      <c r="X76" s="30"/>
      <c r="Y76" s="5"/>
      <c r="Z76" s="46"/>
      <c r="AA76" s="29"/>
      <c r="AB76" s="31"/>
      <c r="AE76" s="47"/>
      <c r="AF76" s="5"/>
      <c r="AG76" s="48"/>
      <c r="AH76" s="47"/>
      <c r="AI76" s="47"/>
      <c r="AJ76" s="47"/>
      <c r="AK76" s="5"/>
    </row>
    <row r="77" spans="1:37" s="28" customFormat="1" ht="12.75" x14ac:dyDescent="0.2">
      <c r="C77" s="59" t="s">
        <v>199</v>
      </c>
      <c r="L77" s="30"/>
      <c r="M77" s="27"/>
      <c r="N77" s="27"/>
      <c r="O77" s="27"/>
      <c r="P77" s="27"/>
      <c r="Q77" s="27"/>
      <c r="R77" s="27"/>
      <c r="S77" s="27"/>
      <c r="T77" s="27"/>
      <c r="U77" s="30"/>
      <c r="V77" s="40"/>
      <c r="X77" s="121"/>
      <c r="Y77" s="122"/>
      <c r="Z77" s="123"/>
      <c r="AA77" s="124"/>
      <c r="AB77" s="124"/>
      <c r="AC77" s="123"/>
      <c r="AD77" s="47"/>
      <c r="AE77" s="47"/>
      <c r="AH77" s="47"/>
      <c r="AI77" s="23"/>
    </row>
    <row r="78" spans="1:37" s="28" customFormat="1" ht="12.75" x14ac:dyDescent="0.2">
      <c r="L78" s="30"/>
      <c r="M78" s="27"/>
      <c r="N78" s="27"/>
      <c r="O78" s="27"/>
      <c r="P78" s="27"/>
      <c r="Q78" s="27"/>
      <c r="R78" s="27"/>
      <c r="S78" s="27"/>
      <c r="T78" s="27"/>
      <c r="U78" s="30"/>
      <c r="V78" s="40"/>
      <c r="W78" s="40"/>
      <c r="X78" s="30"/>
      <c r="Y78" s="23"/>
      <c r="Z78" s="50"/>
      <c r="AA78" s="29"/>
      <c r="AB78" s="31"/>
      <c r="AC78" s="51"/>
      <c r="AD78" s="51"/>
      <c r="AE78" s="51"/>
      <c r="AG78" s="47"/>
      <c r="AH78" s="51"/>
      <c r="AI78" s="23"/>
    </row>
    <row r="79" spans="1:37" s="28" customFormat="1" ht="12.75" x14ac:dyDescent="0.2">
      <c r="L79" s="30"/>
      <c r="M79" s="27"/>
      <c r="N79" s="27"/>
      <c r="O79" s="27"/>
      <c r="P79" s="27"/>
      <c r="Q79" s="27"/>
      <c r="R79" s="27"/>
      <c r="S79" s="27"/>
      <c r="T79" s="27"/>
      <c r="U79" s="30"/>
      <c r="V79" s="40"/>
      <c r="W79" s="40"/>
      <c r="X79" s="5"/>
      <c r="Y79" s="5"/>
      <c r="Z79" s="5"/>
      <c r="AA79" s="5"/>
      <c r="AB79" s="5"/>
      <c r="AC79" s="5"/>
      <c r="AD79" s="5"/>
      <c r="AE79" s="5"/>
      <c r="AF79" s="5"/>
      <c r="AG79" s="5"/>
      <c r="AH79" s="5"/>
      <c r="AI79" s="5"/>
    </row>
    <row r="80" spans="1:37" s="28" customFormat="1" ht="12.75" x14ac:dyDescent="0.2">
      <c r="L80" s="30"/>
      <c r="M80" s="27"/>
      <c r="N80" s="27"/>
      <c r="O80" s="27"/>
      <c r="P80" s="27"/>
      <c r="Q80" s="27"/>
      <c r="R80" s="27"/>
      <c r="S80" s="27"/>
      <c r="T80" s="27"/>
      <c r="U80" s="30"/>
      <c r="V80" s="40"/>
      <c r="W80" s="40"/>
      <c r="X80" s="23"/>
      <c r="Y80" s="23"/>
      <c r="Z80" s="23"/>
      <c r="AA80" s="23"/>
      <c r="AB80" s="23"/>
      <c r="AC80" s="23"/>
      <c r="AD80" s="5"/>
      <c r="AE80" s="5"/>
      <c r="AF80" s="5"/>
      <c r="AG80" s="5"/>
      <c r="AH80" s="51"/>
      <c r="AI80" s="5"/>
    </row>
    <row r="81" spans="1:35" s="28" customFormat="1" ht="12.75" x14ac:dyDescent="0.2">
      <c r="F81" s="28" t="s">
        <v>185</v>
      </c>
      <c r="L81" s="30"/>
      <c r="M81" s="27"/>
      <c r="N81" s="27"/>
      <c r="O81" s="27"/>
      <c r="P81" s="27"/>
      <c r="Q81" s="27"/>
      <c r="R81" s="27"/>
      <c r="S81" s="27"/>
      <c r="T81" s="27"/>
      <c r="U81" s="30"/>
      <c r="V81" s="40"/>
      <c r="W81" s="40"/>
      <c r="X81" s="30"/>
      <c r="Y81" s="5"/>
      <c r="Z81" s="5"/>
      <c r="AA81" s="5"/>
      <c r="AB81" s="5"/>
      <c r="AC81" s="5"/>
      <c r="AD81" s="18"/>
      <c r="AE81" s="18"/>
      <c r="AF81" s="18"/>
      <c r="AG81" s="18"/>
      <c r="AH81" s="51"/>
      <c r="AI81" s="5"/>
    </row>
    <row r="82" spans="1:35" s="28" customFormat="1" ht="12.75" x14ac:dyDescent="0.2">
      <c r="L82" s="30"/>
      <c r="M82" s="27"/>
      <c r="N82" s="27"/>
      <c r="O82" s="27"/>
      <c r="P82" s="27"/>
      <c r="Q82" s="27"/>
      <c r="R82" s="27"/>
      <c r="S82" s="27"/>
      <c r="T82" s="27"/>
      <c r="U82" s="30"/>
      <c r="V82" s="40"/>
      <c r="W82" s="40"/>
      <c r="X82" s="30"/>
      <c r="Y82" s="5"/>
      <c r="Z82" s="5"/>
      <c r="AA82" s="5"/>
      <c r="AB82" s="5"/>
      <c r="AC82" s="5"/>
      <c r="AD82" s="18"/>
      <c r="AE82" s="18"/>
      <c r="AF82" s="49"/>
      <c r="AG82" s="18"/>
      <c r="AH82" s="51"/>
      <c r="AI82" s="5"/>
    </row>
    <row r="83" spans="1:35" s="28" customFormat="1" ht="12.75" x14ac:dyDescent="0.2">
      <c r="D83" s="28" t="s">
        <v>196</v>
      </c>
      <c r="L83" s="30"/>
      <c r="M83" s="27"/>
      <c r="N83" s="27"/>
      <c r="O83" s="27"/>
      <c r="P83" s="27"/>
      <c r="Q83" s="27"/>
      <c r="R83" s="27"/>
      <c r="S83" s="27"/>
      <c r="T83" s="27"/>
      <c r="U83" s="30"/>
      <c r="V83" s="40"/>
      <c r="W83" s="40"/>
      <c r="X83" s="30"/>
      <c r="Y83" s="5"/>
      <c r="Z83" s="5"/>
      <c r="AA83" s="5"/>
      <c r="AB83" s="5"/>
      <c r="AC83" s="5"/>
      <c r="AD83" s="18"/>
      <c r="AE83" s="18"/>
      <c r="AF83" s="18"/>
      <c r="AG83" s="18"/>
      <c r="AH83" s="5"/>
      <c r="AI83" s="5"/>
    </row>
    <row r="84" spans="1:35" s="28" customFormat="1" ht="12.75" x14ac:dyDescent="0.2">
      <c r="L84" s="30"/>
      <c r="M84" s="27"/>
      <c r="N84" s="27"/>
      <c r="O84" s="27"/>
      <c r="P84" s="27"/>
      <c r="Q84" s="27"/>
      <c r="R84" s="27"/>
      <c r="S84" s="27"/>
      <c r="T84" s="27"/>
      <c r="U84" s="30"/>
      <c r="V84" s="40"/>
      <c r="W84" s="40"/>
      <c r="X84" s="117"/>
      <c r="Y84" s="117"/>
      <c r="Z84" s="117"/>
      <c r="AA84" s="117"/>
      <c r="AB84" s="117"/>
      <c r="AC84" s="117"/>
      <c r="AD84" s="18"/>
      <c r="AE84" s="18"/>
      <c r="AF84" s="18"/>
      <c r="AG84" s="18"/>
      <c r="AH84" s="5"/>
      <c r="AI84" s="5"/>
    </row>
    <row r="85" spans="1:35" s="28" customFormat="1" ht="12.75" x14ac:dyDescent="0.2">
      <c r="L85" s="30"/>
      <c r="M85" s="27"/>
      <c r="N85" s="27"/>
      <c r="O85" s="27"/>
      <c r="P85" s="27"/>
      <c r="Q85" s="27"/>
      <c r="R85" s="27"/>
      <c r="S85" s="27"/>
      <c r="T85" s="27"/>
      <c r="U85" s="30"/>
      <c r="V85" s="40"/>
      <c r="W85" s="40"/>
      <c r="X85" s="117"/>
      <c r="Y85" s="117"/>
      <c r="Z85" s="117"/>
      <c r="AA85" s="117"/>
      <c r="AB85" s="117"/>
      <c r="AC85" s="117"/>
      <c r="AD85" s="18"/>
      <c r="AE85" s="40"/>
      <c r="AF85" s="117"/>
      <c r="AG85" s="117"/>
      <c r="AH85" s="5"/>
      <c r="AI85" s="5"/>
    </row>
    <row r="86" spans="1:35" s="28" customFormat="1" ht="12.75" x14ac:dyDescent="0.2">
      <c r="A86" s="73"/>
      <c r="B86" s="75" t="s">
        <v>184</v>
      </c>
      <c r="C86" s="73"/>
      <c r="D86" s="76"/>
      <c r="E86" s="73"/>
      <c r="F86" s="73"/>
      <c r="G86" s="73"/>
      <c r="H86" s="73"/>
      <c r="I86" s="73"/>
      <c r="J86" s="73"/>
      <c r="K86" s="73"/>
      <c r="L86" s="30"/>
      <c r="M86" s="27"/>
      <c r="N86" s="27"/>
      <c r="O86" s="27"/>
      <c r="P86" s="27"/>
      <c r="Q86" s="27"/>
      <c r="R86" s="27"/>
      <c r="S86" s="27"/>
      <c r="T86" s="27"/>
      <c r="U86" s="30"/>
      <c r="V86" s="40"/>
      <c r="W86" s="40"/>
      <c r="X86" s="117"/>
      <c r="Y86" s="117"/>
      <c r="Z86" s="117"/>
      <c r="AA86" s="117"/>
      <c r="AB86" s="117"/>
      <c r="AC86" s="117"/>
      <c r="AD86" s="18"/>
      <c r="AE86" s="51"/>
      <c r="AF86" s="54"/>
      <c r="AG86" s="51"/>
      <c r="AH86" s="51"/>
      <c r="AI86" s="23"/>
    </row>
    <row r="87" spans="1:35" s="28" customFormat="1" ht="12.75" x14ac:dyDescent="0.2">
      <c r="A87" s="73"/>
      <c r="B87" s="73"/>
      <c r="C87" s="73"/>
      <c r="D87" s="76"/>
      <c r="E87" s="73"/>
      <c r="F87" s="73"/>
      <c r="G87" s="73"/>
      <c r="H87" s="73"/>
      <c r="I87" s="73"/>
      <c r="J87" s="73"/>
      <c r="K87" s="73"/>
      <c r="L87" s="30"/>
      <c r="M87" s="27"/>
      <c r="N87" s="27"/>
      <c r="O87" s="27"/>
      <c r="P87" s="27"/>
      <c r="Q87" s="27"/>
      <c r="R87" s="27"/>
      <c r="S87" s="27"/>
      <c r="T87" s="27"/>
      <c r="U87" s="30"/>
      <c r="V87" s="40"/>
      <c r="W87" s="40"/>
      <c r="X87" s="117"/>
      <c r="Y87" s="117"/>
      <c r="Z87" s="117"/>
      <c r="AA87" s="117"/>
      <c r="AB87" s="117"/>
      <c r="AC87" s="117"/>
      <c r="AD87" s="18"/>
      <c r="AE87" s="45"/>
      <c r="AF87" s="45"/>
      <c r="AG87" s="45"/>
      <c r="AH87" s="45"/>
      <c r="AI87" s="44"/>
    </row>
    <row r="88" spans="1:35" s="28" customFormat="1" ht="12.75" x14ac:dyDescent="0.2">
      <c r="A88" s="77"/>
      <c r="B88" s="76"/>
      <c r="C88" s="76"/>
      <c r="D88" s="101"/>
      <c r="E88" s="77"/>
      <c r="F88" s="77"/>
      <c r="G88" s="77"/>
      <c r="H88" s="77"/>
      <c r="I88" s="77"/>
      <c r="J88" s="77"/>
      <c r="K88" s="77"/>
      <c r="L88" s="30"/>
      <c r="M88" s="27"/>
      <c r="N88" s="27"/>
      <c r="O88" s="27"/>
      <c r="P88" s="27"/>
      <c r="Q88" s="27"/>
      <c r="R88" s="27"/>
      <c r="S88" s="27"/>
      <c r="T88" s="27"/>
      <c r="U88" s="30"/>
      <c r="V88" s="40"/>
      <c r="W88" s="40"/>
      <c r="X88" s="117"/>
      <c r="Y88" s="117"/>
      <c r="Z88" s="117"/>
      <c r="AA88" s="117"/>
      <c r="AB88" s="117"/>
      <c r="AC88" s="117"/>
      <c r="AD88" s="18"/>
      <c r="AE88" s="45"/>
      <c r="AF88" s="45"/>
      <c r="AG88" s="45"/>
      <c r="AH88" s="45"/>
      <c r="AI88" s="44"/>
    </row>
    <row r="89" spans="1:35" s="28" customFormat="1" ht="12.75" x14ac:dyDescent="0.2">
      <c r="A89" s="73"/>
      <c r="B89" s="76"/>
      <c r="C89" s="158"/>
      <c r="D89" s="101"/>
      <c r="E89" s="73"/>
      <c r="F89" s="73"/>
      <c r="G89" s="73"/>
      <c r="H89" s="77"/>
      <c r="I89" s="77"/>
      <c r="J89" s="77"/>
      <c r="K89" s="73"/>
      <c r="L89" s="30"/>
      <c r="M89" s="27"/>
      <c r="N89" s="27"/>
      <c r="O89" s="27"/>
      <c r="P89" s="27"/>
      <c r="Q89" s="27"/>
      <c r="R89" s="27"/>
      <c r="S89" s="27"/>
      <c r="T89" s="27"/>
      <c r="U89" s="30"/>
      <c r="V89" s="40"/>
      <c r="W89" s="40"/>
      <c r="X89" s="117"/>
      <c r="Y89" s="117"/>
      <c r="Z89" s="117"/>
      <c r="AA89" s="117"/>
      <c r="AB89" s="117"/>
      <c r="AC89" s="117"/>
      <c r="AD89" s="18"/>
      <c r="AE89" s="45"/>
      <c r="AF89" s="45"/>
      <c r="AG89" s="45"/>
      <c r="AH89" s="45"/>
      <c r="AI89" s="44"/>
    </row>
    <row r="90" spans="1:35" s="28" customFormat="1" ht="12.75" x14ac:dyDescent="0.2">
      <c r="A90" s="73"/>
      <c r="B90" s="103"/>
      <c r="C90" s="104"/>
      <c r="D90" s="101"/>
      <c r="E90" s="73"/>
      <c r="F90" s="73"/>
      <c r="G90" s="73"/>
      <c r="H90" s="77"/>
      <c r="I90" s="77"/>
      <c r="J90" s="77"/>
      <c r="K90" s="73"/>
      <c r="L90" s="30"/>
      <c r="M90" s="27"/>
      <c r="N90" s="27"/>
      <c r="O90" s="27"/>
      <c r="P90" s="27"/>
      <c r="Q90" s="27"/>
      <c r="R90" s="27"/>
      <c r="S90" s="27"/>
      <c r="T90" s="27"/>
      <c r="U90" s="30"/>
      <c r="V90" s="40"/>
      <c r="W90" s="40"/>
      <c r="X90" s="117"/>
      <c r="Y90" s="117"/>
      <c r="Z90" s="117"/>
      <c r="AA90" s="117"/>
      <c r="AB90" s="117"/>
      <c r="AC90" s="117"/>
      <c r="AD90" s="18"/>
      <c r="AE90" s="45"/>
      <c r="AF90" s="45"/>
      <c r="AG90" s="45"/>
      <c r="AH90" s="45"/>
      <c r="AI90" s="44"/>
    </row>
    <row r="91" spans="1:35" s="28" customFormat="1" ht="12.75" x14ac:dyDescent="0.2">
      <c r="A91" s="79"/>
      <c r="B91" s="77"/>
      <c r="C91" s="77"/>
      <c r="D91" s="77"/>
      <c r="E91" s="77"/>
      <c r="F91" s="77"/>
      <c r="G91" s="77"/>
      <c r="H91" s="77"/>
      <c r="I91" s="73"/>
      <c r="J91" s="73"/>
      <c r="K91" s="73"/>
      <c r="L91" s="30"/>
      <c r="M91" s="27"/>
      <c r="N91" s="27"/>
      <c r="O91" s="27"/>
      <c r="P91" s="27"/>
      <c r="Q91" s="27"/>
      <c r="R91" s="27"/>
      <c r="S91" s="27"/>
      <c r="T91" s="27"/>
      <c r="U91" s="30"/>
      <c r="V91" s="40"/>
      <c r="W91" s="40"/>
      <c r="X91" s="117"/>
      <c r="Y91" s="117"/>
      <c r="Z91" s="117"/>
      <c r="AA91" s="117"/>
      <c r="AB91" s="117"/>
      <c r="AC91" s="117"/>
      <c r="AD91" s="18"/>
      <c r="AE91" s="40"/>
      <c r="AF91" s="117"/>
      <c r="AG91" s="117"/>
      <c r="AH91" s="45"/>
      <c r="AI91" s="44"/>
    </row>
    <row r="92" spans="1:35" s="28" customFormat="1" ht="12.75" x14ac:dyDescent="0.2">
      <c r="A92" s="77"/>
      <c r="B92" s="76"/>
      <c r="C92" s="76"/>
      <c r="D92" s="101"/>
      <c r="E92" s="77"/>
      <c r="F92" s="77"/>
      <c r="G92" s="77"/>
      <c r="H92" s="77"/>
      <c r="I92" s="77"/>
      <c r="J92" s="77"/>
      <c r="K92" s="77"/>
      <c r="L92" s="30"/>
      <c r="M92" s="27"/>
      <c r="N92" s="27"/>
      <c r="O92" s="27"/>
      <c r="P92" s="27"/>
      <c r="Q92" s="27"/>
      <c r="R92" s="27"/>
      <c r="S92" s="27"/>
      <c r="T92" s="27"/>
      <c r="U92" s="30"/>
      <c r="V92" s="40"/>
      <c r="W92" s="40"/>
      <c r="X92" s="117"/>
      <c r="Y92" s="117"/>
      <c r="Z92" s="117"/>
      <c r="AA92" s="117"/>
      <c r="AB92" s="117"/>
      <c r="AC92" s="117"/>
      <c r="AD92" s="18"/>
      <c r="AE92" s="43"/>
      <c r="AF92" s="54"/>
      <c r="AG92" s="42"/>
      <c r="AH92" s="5"/>
      <c r="AI92" s="5"/>
    </row>
    <row r="93" spans="1:35" s="28" customFormat="1" ht="12.75" x14ac:dyDescent="0.2">
      <c r="A93" s="77"/>
      <c r="B93" s="76"/>
      <c r="C93" s="158"/>
      <c r="D93" s="101"/>
      <c r="E93" s="77"/>
      <c r="F93" s="77"/>
      <c r="G93" s="77"/>
      <c r="H93" s="77"/>
      <c r="I93" s="77"/>
      <c r="J93" s="77"/>
      <c r="K93" s="77"/>
      <c r="L93" s="30"/>
      <c r="M93" s="27"/>
      <c r="N93" s="27"/>
      <c r="O93" s="27"/>
      <c r="P93" s="27"/>
      <c r="Q93" s="27"/>
      <c r="R93" s="27"/>
      <c r="S93" s="27"/>
      <c r="T93" s="27"/>
      <c r="U93" s="30"/>
      <c r="V93" s="40"/>
      <c r="W93" s="40"/>
      <c r="X93" s="117"/>
      <c r="Y93" s="117"/>
      <c r="Z93" s="117"/>
      <c r="AA93" s="117"/>
      <c r="AB93" s="117"/>
      <c r="AC93" s="117"/>
      <c r="AD93" s="18"/>
      <c r="AE93" s="41"/>
      <c r="AF93" s="41"/>
      <c r="AG93" s="41"/>
      <c r="AH93" s="41"/>
      <c r="AI93" s="41"/>
    </row>
    <row r="94" spans="1:35" s="28" customFormat="1" ht="12.75" x14ac:dyDescent="0.2">
      <c r="A94" s="77"/>
      <c r="B94" s="103"/>
      <c r="C94" s="104"/>
      <c r="D94" s="101"/>
      <c r="E94" s="77"/>
      <c r="F94" s="77"/>
      <c r="G94" s="77"/>
      <c r="H94" s="77"/>
      <c r="I94" s="77"/>
      <c r="J94" s="77"/>
      <c r="K94" s="77"/>
      <c r="L94" s="30"/>
      <c r="M94" s="27"/>
      <c r="N94" s="27"/>
      <c r="O94" s="27"/>
      <c r="P94" s="27"/>
      <c r="Q94" s="27"/>
      <c r="R94" s="27"/>
      <c r="S94" s="27"/>
      <c r="T94" s="27"/>
      <c r="U94" s="30"/>
      <c r="V94" s="40"/>
      <c r="W94" s="40"/>
      <c r="X94" s="117"/>
      <c r="Y94" s="117"/>
      <c r="Z94" s="117"/>
      <c r="AA94" s="117"/>
      <c r="AB94" s="117"/>
      <c r="AC94" s="117"/>
      <c r="AD94" s="18"/>
      <c r="AE94" s="41"/>
      <c r="AF94" s="49"/>
      <c r="AG94" s="49"/>
      <c r="AH94" s="41"/>
      <c r="AI94" s="41"/>
    </row>
    <row r="95" spans="1:35" s="28" customFormat="1" ht="12.75" x14ac:dyDescent="0.2">
      <c r="A95" s="77"/>
      <c r="B95" s="77"/>
      <c r="C95" s="77"/>
      <c r="D95" s="77"/>
      <c r="E95" s="77"/>
      <c r="F95" s="77"/>
      <c r="G95" s="77"/>
      <c r="H95" s="77"/>
      <c r="I95" s="77"/>
      <c r="J95" s="77"/>
      <c r="K95" s="77"/>
      <c r="L95" s="30"/>
      <c r="M95" s="27"/>
      <c r="N95" s="27"/>
      <c r="O95" s="27"/>
      <c r="P95" s="27"/>
      <c r="Q95" s="27"/>
      <c r="R95" s="27"/>
      <c r="S95" s="27"/>
      <c r="T95" s="27"/>
      <c r="U95" s="30"/>
      <c r="V95" s="40"/>
      <c r="W95" s="40"/>
      <c r="X95" s="117"/>
      <c r="Y95" s="117"/>
      <c r="Z95" s="117"/>
      <c r="AA95" s="117"/>
      <c r="AB95" s="117"/>
      <c r="AC95" s="117"/>
      <c r="AD95" s="18"/>
      <c r="AE95" s="41"/>
      <c r="AF95" s="49"/>
      <c r="AG95" s="49"/>
      <c r="AH95" s="41"/>
      <c r="AI95" s="41"/>
    </row>
    <row r="96" spans="1:35" s="28" customFormat="1" ht="12.75" x14ac:dyDescent="0.2">
      <c r="A96" s="77"/>
      <c r="B96" s="77"/>
      <c r="C96" s="77"/>
      <c r="D96" s="77"/>
      <c r="E96" s="77"/>
      <c r="F96" s="77"/>
      <c r="G96" s="77"/>
      <c r="H96" s="77"/>
      <c r="I96" s="77"/>
      <c r="J96" s="77"/>
      <c r="K96" s="77"/>
      <c r="L96" s="30"/>
      <c r="M96" s="27"/>
      <c r="N96" s="27"/>
      <c r="O96" s="27"/>
      <c r="P96" s="27"/>
      <c r="Q96" s="27"/>
      <c r="R96" s="27"/>
      <c r="S96" s="27"/>
      <c r="T96" s="27"/>
      <c r="U96" s="30"/>
      <c r="V96" s="40"/>
      <c r="W96" s="40"/>
      <c r="X96" s="117"/>
      <c r="Y96" s="117"/>
      <c r="Z96" s="117"/>
      <c r="AA96" s="117"/>
      <c r="AB96" s="117"/>
      <c r="AC96" s="117"/>
      <c r="AD96" s="18"/>
      <c r="AE96" s="41"/>
      <c r="AF96" s="49"/>
      <c r="AG96" s="49"/>
      <c r="AH96" s="41"/>
      <c r="AI96" s="41"/>
    </row>
    <row r="97" spans="1:35" s="28" customFormat="1" ht="12.75" x14ac:dyDescent="0.2">
      <c r="A97" s="79"/>
      <c r="B97" s="80"/>
      <c r="C97" s="77"/>
      <c r="D97" s="77"/>
      <c r="E97" s="73"/>
      <c r="F97" s="73"/>
      <c r="G97" s="73"/>
      <c r="H97" s="81"/>
      <c r="I97" s="77"/>
      <c r="J97" s="77"/>
      <c r="K97" s="73"/>
      <c r="L97" s="30"/>
      <c r="M97" s="27"/>
      <c r="N97" s="27"/>
      <c r="O97" s="27"/>
      <c r="P97" s="27"/>
      <c r="Q97" s="27"/>
      <c r="R97" s="27"/>
      <c r="S97" s="27"/>
      <c r="T97" s="27"/>
      <c r="U97" s="30"/>
      <c r="V97" s="40"/>
      <c r="W97" s="40"/>
      <c r="X97" s="117"/>
      <c r="Y97" s="117"/>
      <c r="Z97" s="117"/>
      <c r="AA97" s="117"/>
      <c r="AB97" s="117"/>
      <c r="AC97" s="117"/>
      <c r="AD97" s="18"/>
      <c r="AE97" s="41"/>
      <c r="AF97" s="49"/>
      <c r="AG97" s="49"/>
      <c r="AH97" s="41"/>
      <c r="AI97" s="41"/>
    </row>
    <row r="98" spans="1:35" s="28" customFormat="1" ht="12.75" x14ac:dyDescent="0.2">
      <c r="A98" s="79"/>
      <c r="B98" s="76"/>
      <c r="C98" s="78"/>
      <c r="D98" s="73"/>
      <c r="E98" s="73"/>
      <c r="F98" s="82"/>
      <c r="G98" s="73"/>
      <c r="H98" s="82"/>
      <c r="I98" s="77"/>
      <c r="J98" s="77"/>
      <c r="K98" s="73"/>
      <c r="L98" s="30"/>
      <c r="M98" s="27"/>
      <c r="N98" s="27"/>
      <c r="O98" s="27"/>
      <c r="P98" s="27"/>
      <c r="Q98" s="27"/>
      <c r="R98" s="27"/>
      <c r="S98" s="27"/>
      <c r="T98" s="27"/>
      <c r="U98" s="30"/>
      <c r="V98" s="40"/>
      <c r="W98" s="40"/>
      <c r="X98" s="117"/>
      <c r="Y98" s="117"/>
      <c r="Z98" s="117"/>
      <c r="AA98" s="117"/>
      <c r="AB98" s="117"/>
      <c r="AC98" s="117"/>
      <c r="AD98" s="18"/>
      <c r="AE98" s="5"/>
      <c r="AF98" s="49"/>
      <c r="AG98" s="49"/>
      <c r="AH98" s="5"/>
      <c r="AI98" s="5"/>
    </row>
    <row r="99" spans="1:35" s="28" customFormat="1" ht="12.75" x14ac:dyDescent="0.2">
      <c r="A99" s="73"/>
      <c r="B99" s="76"/>
      <c r="C99" s="73"/>
      <c r="D99" s="73"/>
      <c r="E99" s="73"/>
      <c r="F99" s="82"/>
      <c r="G99" s="73"/>
      <c r="H99" s="82"/>
      <c r="I99" s="77"/>
      <c r="J99" s="77"/>
      <c r="K99" s="73"/>
      <c r="L99" s="30"/>
      <c r="M99" s="27"/>
      <c r="N99" s="27"/>
      <c r="O99" s="27"/>
      <c r="P99" s="27"/>
      <c r="Q99" s="27"/>
      <c r="R99" s="27"/>
      <c r="S99" s="27"/>
      <c r="T99" s="27"/>
      <c r="U99" s="30"/>
      <c r="V99" s="40"/>
      <c r="W99" s="40"/>
      <c r="X99" s="117"/>
      <c r="Y99" s="117"/>
      <c r="Z99" s="117"/>
      <c r="AA99" s="117"/>
      <c r="AB99" s="117"/>
      <c r="AC99" s="117"/>
      <c r="AD99" s="18"/>
      <c r="AE99" s="5"/>
      <c r="AF99" s="49"/>
      <c r="AG99" s="49"/>
      <c r="AH99" s="5"/>
      <c r="AI99" s="51"/>
    </row>
    <row r="100" spans="1:35" s="28" customFormat="1" ht="12.75" x14ac:dyDescent="0.2">
      <c r="A100" s="79"/>
      <c r="B100" s="80"/>
      <c r="C100" s="81"/>
      <c r="D100" s="73"/>
      <c r="E100" s="73"/>
      <c r="F100" s="84"/>
      <c r="G100" s="73"/>
      <c r="H100" s="84"/>
      <c r="I100" s="77"/>
      <c r="J100" s="77"/>
      <c r="K100" s="73"/>
      <c r="L100" s="30"/>
      <c r="M100" s="27"/>
      <c r="N100" s="27"/>
      <c r="O100" s="27"/>
      <c r="P100" s="27"/>
      <c r="Q100" s="27"/>
      <c r="R100" s="27"/>
      <c r="S100" s="27"/>
      <c r="T100" s="27"/>
      <c r="U100" s="30"/>
      <c r="V100" s="40"/>
      <c r="W100" s="40"/>
      <c r="X100" s="117"/>
      <c r="Y100" s="117"/>
      <c r="Z100" s="117"/>
      <c r="AA100" s="117"/>
      <c r="AB100" s="117"/>
      <c r="AC100" s="117"/>
      <c r="AD100" s="18"/>
      <c r="AE100" s="5"/>
      <c r="AF100" s="49"/>
      <c r="AG100" s="49"/>
      <c r="AH100" s="5"/>
      <c r="AI100" s="51"/>
    </row>
    <row r="101" spans="1:35" s="28" customFormat="1" ht="12.75" x14ac:dyDescent="0.2">
      <c r="A101" s="79"/>
      <c r="B101" s="80"/>
      <c r="C101" s="79"/>
      <c r="D101" s="76"/>
      <c r="E101" s="73"/>
      <c r="F101" s="84"/>
      <c r="G101" s="73"/>
      <c r="H101" s="84"/>
      <c r="I101" s="77"/>
      <c r="J101" s="77"/>
      <c r="K101" s="73"/>
      <c r="L101" s="30"/>
      <c r="M101" s="27"/>
      <c r="N101" s="27"/>
      <c r="O101" s="27"/>
      <c r="P101" s="27"/>
      <c r="Q101" s="27"/>
      <c r="R101" s="27"/>
      <c r="S101" s="27"/>
      <c r="T101" s="27"/>
      <c r="U101" s="30"/>
      <c r="V101" s="40"/>
      <c r="W101" s="40"/>
      <c r="X101" s="117"/>
      <c r="Y101" s="117"/>
      <c r="Z101" s="117"/>
      <c r="AA101" s="117"/>
      <c r="AB101" s="117"/>
      <c r="AC101" s="117"/>
      <c r="AD101" s="18"/>
      <c r="AE101" s="5"/>
      <c r="AF101" s="5"/>
      <c r="AG101" s="5"/>
      <c r="AH101" s="5"/>
      <c r="AI101" s="51"/>
    </row>
    <row r="102" spans="1:35" s="28" customFormat="1" ht="12.75" x14ac:dyDescent="0.2">
      <c r="A102" s="79"/>
      <c r="B102" s="77"/>
      <c r="C102" s="77"/>
      <c r="D102" s="77"/>
      <c r="E102" s="73"/>
      <c r="F102" s="84"/>
      <c r="G102" s="73"/>
      <c r="H102" s="84"/>
      <c r="I102" s="77"/>
      <c r="J102" s="77"/>
      <c r="K102" s="79"/>
      <c r="L102" s="30"/>
      <c r="M102" s="27"/>
      <c r="N102" s="27"/>
      <c r="O102" s="27"/>
      <c r="P102" s="27"/>
      <c r="Q102" s="27"/>
      <c r="R102" s="27"/>
      <c r="S102" s="27"/>
      <c r="T102" s="27"/>
      <c r="U102" s="30"/>
      <c r="V102" s="40"/>
      <c r="W102" s="40"/>
      <c r="X102" s="117"/>
      <c r="Y102" s="117"/>
      <c r="Z102" s="117"/>
      <c r="AA102" s="117"/>
      <c r="AB102" s="117"/>
      <c r="AC102" s="117"/>
      <c r="AD102" s="18"/>
      <c r="AE102" s="5"/>
      <c r="AF102" s="5"/>
      <c r="AG102" s="5"/>
      <c r="AH102" s="5"/>
      <c r="AI102" s="51"/>
    </row>
    <row r="103" spans="1:35" s="28" customFormat="1" ht="12.75" x14ac:dyDescent="0.2">
      <c r="A103" s="79"/>
      <c r="B103" s="77"/>
      <c r="C103" s="77"/>
      <c r="D103" s="77"/>
      <c r="E103" s="73"/>
      <c r="F103" s="84"/>
      <c r="G103" s="73"/>
      <c r="H103" s="84"/>
      <c r="I103" s="77"/>
      <c r="J103" s="77"/>
      <c r="K103" s="79"/>
      <c r="L103" s="30"/>
      <c r="M103" s="27"/>
      <c r="N103" s="27"/>
      <c r="O103" s="27"/>
      <c r="P103" s="27"/>
      <c r="Q103" s="27"/>
      <c r="R103" s="27"/>
      <c r="S103" s="27"/>
      <c r="T103" s="27"/>
      <c r="U103" s="30"/>
      <c r="V103" s="40"/>
      <c r="W103" s="40"/>
      <c r="X103" s="117"/>
      <c r="Y103" s="117"/>
      <c r="Z103" s="117"/>
      <c r="AA103" s="117"/>
      <c r="AB103" s="117"/>
      <c r="AC103" s="117"/>
      <c r="AD103" s="18"/>
      <c r="AE103" s="5"/>
      <c r="AF103" s="5"/>
      <c r="AG103" s="5"/>
      <c r="AH103" s="5"/>
      <c r="AI103" s="5"/>
    </row>
    <row r="104" spans="1:35" s="28" customFormat="1" ht="12.75" x14ac:dyDescent="0.2">
      <c r="A104" s="73"/>
      <c r="B104" s="77"/>
      <c r="C104" s="77"/>
      <c r="D104" s="77"/>
      <c r="E104" s="73"/>
      <c r="F104" s="73"/>
      <c r="G104" s="73"/>
      <c r="H104" s="73"/>
      <c r="I104" s="73"/>
      <c r="J104" s="73"/>
      <c r="K104" s="73"/>
      <c r="L104" s="30"/>
      <c r="M104" s="27"/>
      <c r="N104" s="27"/>
      <c r="O104" s="27"/>
      <c r="P104" s="27"/>
      <c r="Q104" s="27"/>
      <c r="R104" s="27"/>
      <c r="S104" s="27"/>
      <c r="T104" s="27"/>
      <c r="U104" s="30"/>
      <c r="V104" s="40"/>
      <c r="W104" s="40"/>
      <c r="X104" s="117"/>
      <c r="Y104" s="117"/>
      <c r="Z104" s="117"/>
      <c r="AA104" s="117"/>
      <c r="AB104" s="117"/>
      <c r="AC104" s="117"/>
      <c r="AD104" s="18"/>
      <c r="AE104" s="5"/>
      <c r="AF104" s="5"/>
      <c r="AG104" s="5"/>
      <c r="AH104" s="51"/>
      <c r="AI104" s="5"/>
    </row>
    <row r="105" spans="1:35" s="28" customFormat="1" ht="12.75" x14ac:dyDescent="0.2">
      <c r="A105" s="73"/>
      <c r="B105" s="77"/>
      <c r="C105" s="77"/>
      <c r="D105" s="77"/>
      <c r="E105" s="73"/>
      <c r="F105" s="73"/>
      <c r="G105" s="73"/>
      <c r="H105" s="73"/>
      <c r="I105" s="73"/>
      <c r="J105" s="73"/>
      <c r="K105" s="73"/>
      <c r="L105" s="30"/>
      <c r="M105" s="27"/>
      <c r="N105" s="27"/>
      <c r="O105" s="27"/>
      <c r="P105" s="27"/>
      <c r="Q105" s="27"/>
      <c r="R105" s="27"/>
      <c r="S105" s="27"/>
      <c r="T105" s="27"/>
      <c r="U105" s="30"/>
      <c r="V105" s="40"/>
      <c r="W105" s="40"/>
      <c r="X105" s="117"/>
      <c r="Y105" s="117"/>
      <c r="Z105" s="117"/>
      <c r="AA105" s="117"/>
      <c r="AB105" s="117"/>
      <c r="AC105" s="117"/>
      <c r="AD105" s="18"/>
      <c r="AE105" s="5"/>
      <c r="AF105" s="5"/>
      <c r="AG105" s="5"/>
      <c r="AH105" s="5"/>
      <c r="AI105" s="5"/>
    </row>
    <row r="106" spans="1:35" s="28" customFormat="1" ht="12.75" x14ac:dyDescent="0.2">
      <c r="A106" s="80"/>
      <c r="B106" s="80"/>
      <c r="C106" s="163"/>
      <c r="D106" s="77"/>
      <c r="E106" s="73"/>
      <c r="F106" s="73"/>
      <c r="G106" s="73"/>
      <c r="H106" s="73"/>
      <c r="I106" s="73"/>
      <c r="J106" s="73"/>
      <c r="K106" s="73"/>
      <c r="L106" s="30"/>
      <c r="M106" s="27"/>
      <c r="N106" s="27"/>
      <c r="O106" s="27"/>
      <c r="P106" s="27"/>
      <c r="Q106" s="27"/>
      <c r="R106" s="27"/>
      <c r="S106" s="27"/>
      <c r="T106" s="27"/>
      <c r="U106" s="30"/>
      <c r="V106" s="40"/>
      <c r="W106" s="40"/>
      <c r="X106" s="30"/>
      <c r="Y106" s="52"/>
      <c r="Z106" s="52"/>
      <c r="AA106" s="52"/>
      <c r="AB106" s="52"/>
      <c r="AC106" s="52"/>
      <c r="AD106" s="5"/>
      <c r="AE106" s="5"/>
      <c r="AF106" s="5"/>
      <c r="AG106" s="5"/>
      <c r="AH106" s="5"/>
      <c r="AI106" s="5"/>
    </row>
    <row r="107" spans="1:35" s="28" customFormat="1" ht="12.75" x14ac:dyDescent="0.2">
      <c r="A107" s="76"/>
      <c r="B107" s="76"/>
      <c r="C107" s="89"/>
      <c r="D107" s="88"/>
      <c r="E107" s="73"/>
      <c r="F107" s="76"/>
      <c r="G107" s="78"/>
      <c r="H107" s="73"/>
      <c r="I107" s="77"/>
      <c r="J107" s="73"/>
      <c r="K107" s="73"/>
      <c r="L107" s="30"/>
      <c r="M107" s="27"/>
      <c r="N107" s="27"/>
      <c r="O107" s="27"/>
      <c r="P107" s="27"/>
      <c r="Q107" s="27"/>
      <c r="R107" s="27"/>
      <c r="S107" s="27"/>
      <c r="T107" s="27"/>
      <c r="U107" s="30"/>
      <c r="V107" s="40"/>
      <c r="W107" s="40"/>
      <c r="X107" s="30"/>
      <c r="Y107" s="52"/>
      <c r="Z107" s="18"/>
      <c r="AA107" s="41"/>
      <c r="AB107" s="5"/>
      <c r="AC107" s="5"/>
      <c r="AD107" s="5"/>
      <c r="AE107" s="5"/>
      <c r="AF107" s="5"/>
      <c r="AG107" s="5"/>
      <c r="AH107" s="5"/>
      <c r="AI107" s="5"/>
    </row>
    <row r="108" spans="1:35" s="28" customFormat="1" ht="12.75" x14ac:dyDescent="0.2">
      <c r="A108" s="80"/>
      <c r="B108" s="77"/>
      <c r="C108" s="77"/>
      <c r="D108" s="88"/>
      <c r="E108" s="73"/>
      <c r="F108" s="76"/>
      <c r="G108" s="73"/>
      <c r="H108" s="73"/>
      <c r="I108" s="77"/>
      <c r="J108" s="81"/>
      <c r="K108" s="81"/>
      <c r="L108" s="30"/>
      <c r="M108" s="27"/>
      <c r="N108" s="27"/>
      <c r="O108" s="27"/>
      <c r="P108" s="27"/>
      <c r="Q108" s="27"/>
      <c r="R108" s="27"/>
      <c r="S108" s="27"/>
      <c r="T108" s="27"/>
      <c r="U108" s="30"/>
      <c r="V108" s="40"/>
      <c r="W108" s="40"/>
      <c r="X108" s="30"/>
      <c r="Y108" s="18"/>
      <c r="Z108" s="51"/>
      <c r="AA108" s="55"/>
      <c r="AB108" s="51"/>
      <c r="AC108" s="5"/>
      <c r="AD108" s="5"/>
      <c r="AE108" s="5"/>
      <c r="AF108" s="5"/>
      <c r="AG108" s="5"/>
      <c r="AH108" s="5"/>
      <c r="AI108" s="5"/>
    </row>
    <row r="109" spans="1:35" s="28" customFormat="1" ht="12.75" x14ac:dyDescent="0.2">
      <c r="A109" s="80"/>
      <c r="C109" s="77"/>
      <c r="D109" s="77"/>
      <c r="E109" s="77" t="s">
        <v>179</v>
      </c>
      <c r="F109" s="73"/>
      <c r="G109" s="80"/>
      <c r="H109" s="81"/>
      <c r="I109" s="77"/>
      <c r="J109" s="81"/>
      <c r="K109" s="81"/>
      <c r="L109" s="30"/>
      <c r="M109" s="27"/>
      <c r="N109" s="27"/>
      <c r="O109" s="27"/>
      <c r="P109" s="27"/>
      <c r="Q109" s="27"/>
      <c r="R109" s="27"/>
      <c r="S109" s="27"/>
      <c r="T109" s="27"/>
      <c r="U109" s="30"/>
      <c r="V109" s="40"/>
      <c r="W109" s="40"/>
      <c r="X109" s="30"/>
      <c r="Y109" s="18"/>
      <c r="Z109" s="5"/>
      <c r="AA109" s="41"/>
      <c r="AB109" s="5"/>
      <c r="AC109" s="5"/>
      <c r="AD109" s="5"/>
      <c r="AE109" s="5"/>
      <c r="AF109" s="5"/>
      <c r="AG109" s="5"/>
      <c r="AH109" s="5"/>
      <c r="AI109" s="5"/>
    </row>
    <row r="110" spans="1:35" s="28" customFormat="1" ht="12.75" x14ac:dyDescent="0.2">
      <c r="A110" s="73"/>
      <c r="C110" s="77"/>
      <c r="D110" s="77"/>
      <c r="E110" s="77" t="s">
        <v>180</v>
      </c>
      <c r="F110" s="80"/>
      <c r="G110" s="77"/>
      <c r="H110" s="77"/>
      <c r="I110" s="73"/>
      <c r="J110" s="73"/>
      <c r="K110" s="73"/>
      <c r="L110" s="30"/>
      <c r="M110" s="27"/>
      <c r="N110" s="27"/>
      <c r="O110" s="27"/>
      <c r="P110" s="27"/>
      <c r="Q110" s="27"/>
      <c r="R110" s="27"/>
      <c r="S110" s="27"/>
      <c r="T110" s="27"/>
      <c r="U110" s="30"/>
      <c r="V110" s="40"/>
      <c r="W110" s="40"/>
      <c r="X110" s="30"/>
      <c r="Y110" s="5"/>
      <c r="Z110" s="5"/>
      <c r="AA110" s="5"/>
      <c r="AB110" s="5"/>
      <c r="AC110" s="5"/>
      <c r="AD110" s="5"/>
      <c r="AE110" s="5"/>
      <c r="AF110" s="5"/>
      <c r="AG110" s="5"/>
      <c r="AH110" s="5"/>
      <c r="AI110" s="5"/>
    </row>
    <row r="111" spans="1:35" s="28" customFormat="1" ht="12.75" x14ac:dyDescent="0.2">
      <c r="A111" s="73"/>
      <c r="B111" s="76"/>
      <c r="C111" s="77"/>
      <c r="D111" s="73"/>
      <c r="E111" s="76"/>
      <c r="F111" s="111"/>
      <c r="G111" s="110"/>
      <c r="H111" s="77"/>
      <c r="I111" s="73"/>
      <c r="J111" s="73"/>
      <c r="K111" s="73"/>
      <c r="L111" s="30"/>
      <c r="M111" s="27"/>
      <c r="N111" s="27"/>
      <c r="O111" s="27"/>
      <c r="P111" s="27"/>
      <c r="Q111" s="27"/>
      <c r="R111" s="27"/>
      <c r="S111" s="27"/>
      <c r="T111" s="27"/>
      <c r="U111" s="30"/>
      <c r="V111" s="40"/>
      <c r="W111" s="40"/>
      <c r="X111" s="30"/>
    </row>
    <row r="112" spans="1:35" s="28" customFormat="1" ht="12.75" x14ac:dyDescent="0.2">
      <c r="A112" s="73"/>
      <c r="C112" s="95"/>
      <c r="D112" s="110"/>
      <c r="E112" s="80" t="s">
        <v>216</v>
      </c>
      <c r="F112" s="158">
        <f>BM52</f>
        <v>314.55324323875436</v>
      </c>
      <c r="G112" s="73" t="s">
        <v>143</v>
      </c>
      <c r="H112" s="77"/>
      <c r="I112" s="73"/>
      <c r="J112" s="73"/>
      <c r="K112" s="73"/>
      <c r="L112" s="30"/>
      <c r="M112" s="27"/>
      <c r="N112" s="27"/>
      <c r="O112" s="27"/>
      <c r="P112" s="27"/>
      <c r="Q112" s="27"/>
      <c r="R112" s="27"/>
      <c r="S112" s="27"/>
      <c r="T112" s="27"/>
      <c r="U112" s="30"/>
      <c r="V112" s="40"/>
      <c r="W112" s="40"/>
      <c r="X112" s="30"/>
    </row>
    <row r="113" spans="1:24" s="28" customFormat="1" ht="12.75" x14ac:dyDescent="0.2">
      <c r="A113" s="73"/>
      <c r="C113" s="77"/>
      <c r="D113" s="77"/>
      <c r="E113" s="80" t="s">
        <v>217</v>
      </c>
      <c r="F113" s="158">
        <f>BY52</f>
        <v>-67.861088156515564</v>
      </c>
      <c r="G113" s="73" t="s">
        <v>183</v>
      </c>
      <c r="H113" s="77"/>
      <c r="I113" s="73"/>
      <c r="J113" s="73"/>
      <c r="K113" s="73"/>
      <c r="L113" s="30"/>
      <c r="M113" s="27"/>
      <c r="N113" s="27"/>
      <c r="O113" s="27"/>
      <c r="P113" s="27"/>
      <c r="Q113" s="27"/>
      <c r="R113" s="27"/>
      <c r="S113" s="27"/>
      <c r="T113" s="27"/>
      <c r="U113" s="30"/>
      <c r="V113" s="56"/>
      <c r="W113" s="40"/>
      <c r="X113" s="30"/>
    </row>
    <row r="114" spans="1:24" s="28" customFormat="1" ht="12.75" x14ac:dyDescent="0.2">
      <c r="A114" s="5"/>
      <c r="B114" s="46"/>
      <c r="C114" s="53"/>
      <c r="D114" s="43"/>
      <c r="E114" s="49"/>
      <c r="F114" s="40"/>
      <c r="G114" s="5"/>
      <c r="H114" s="49"/>
      <c r="I114" s="40"/>
      <c r="J114" s="47"/>
      <c r="K114" s="47"/>
      <c r="L114" s="30"/>
      <c r="M114" s="27"/>
      <c r="N114" s="27"/>
      <c r="O114" s="27"/>
      <c r="P114" s="27"/>
      <c r="Q114" s="27"/>
      <c r="R114" s="27"/>
      <c r="S114" s="27"/>
      <c r="T114" s="27"/>
      <c r="U114" s="30"/>
      <c r="V114" s="5"/>
      <c r="W114" s="5"/>
      <c r="X114" s="30"/>
    </row>
    <row r="115" spans="1:24" s="28" customFormat="1" ht="12.75" x14ac:dyDescent="0.2">
      <c r="A115" s="58"/>
      <c r="B115" s="28" t="s">
        <v>254</v>
      </c>
      <c r="C115" s="60"/>
      <c r="D115" s="58"/>
      <c r="E115" s="58"/>
      <c r="F115" s="58"/>
      <c r="G115" s="60"/>
      <c r="H115" s="58"/>
      <c r="I115" s="58"/>
      <c r="J115" s="58"/>
      <c r="K115" s="58"/>
      <c r="L115" s="30"/>
      <c r="M115" s="27"/>
      <c r="N115" s="27"/>
      <c r="O115" s="27"/>
      <c r="P115" s="27"/>
      <c r="Q115" s="27"/>
      <c r="R115" s="27"/>
      <c r="S115" s="27"/>
      <c r="T115" s="27"/>
      <c r="U115" s="30"/>
      <c r="V115" s="30"/>
      <c r="W115" s="30"/>
      <c r="X115" s="30"/>
    </row>
    <row r="116" spans="1:24" s="28" customFormat="1" ht="12.75" x14ac:dyDescent="0.2">
      <c r="A116" s="58"/>
      <c r="B116" s="59"/>
      <c r="C116" s="60"/>
      <c r="D116" s="58"/>
      <c r="E116" s="58"/>
      <c r="F116" s="58"/>
      <c r="G116" s="60"/>
      <c r="H116" s="58"/>
      <c r="I116" s="58"/>
      <c r="J116" s="58"/>
      <c r="K116" s="58"/>
      <c r="L116" s="30"/>
      <c r="M116" s="27"/>
      <c r="N116" s="27"/>
      <c r="O116" s="27"/>
      <c r="P116" s="27"/>
      <c r="Q116" s="27"/>
      <c r="R116" s="27"/>
      <c r="S116" s="27"/>
      <c r="T116" s="27"/>
      <c r="U116" s="30"/>
      <c r="V116" s="30"/>
      <c r="W116" s="30"/>
      <c r="X116" s="30"/>
    </row>
    <row r="117" spans="1:24" s="28" customFormat="1" ht="12.75" x14ac:dyDescent="0.2">
      <c r="A117" s="58"/>
      <c r="B117" s="59"/>
      <c r="C117" s="60"/>
      <c r="D117" s="58"/>
      <c r="E117" s="58"/>
      <c r="F117" s="58"/>
      <c r="G117" s="60"/>
      <c r="H117" s="58"/>
      <c r="I117" s="58"/>
      <c r="J117" s="58"/>
      <c r="K117" s="58"/>
      <c r="L117" s="30"/>
      <c r="M117" s="27"/>
      <c r="N117" s="27"/>
      <c r="O117" s="27"/>
      <c r="P117" s="27"/>
      <c r="Q117" s="27"/>
      <c r="R117" s="27"/>
      <c r="S117" s="27"/>
      <c r="T117" s="27"/>
      <c r="U117" s="30"/>
      <c r="V117" s="30"/>
      <c r="W117" s="30"/>
      <c r="X117" s="30"/>
    </row>
    <row r="118" spans="1:24" s="28" customFormat="1" ht="12.75" x14ac:dyDescent="0.2">
      <c r="A118" s="58"/>
      <c r="B118" s="59"/>
      <c r="C118" s="60"/>
      <c r="D118" s="58"/>
      <c r="E118" s="58"/>
      <c r="F118" s="58"/>
      <c r="G118" s="60"/>
      <c r="H118" s="58"/>
      <c r="I118" s="58"/>
      <c r="J118" s="58"/>
      <c r="K118" s="58"/>
      <c r="L118" s="30"/>
      <c r="M118" s="27"/>
      <c r="N118" s="27"/>
      <c r="O118" s="27"/>
      <c r="P118" s="27"/>
      <c r="Q118" s="27"/>
      <c r="R118" s="27"/>
      <c r="S118" s="27"/>
      <c r="T118" s="27"/>
      <c r="U118" s="30"/>
      <c r="V118" s="30"/>
      <c r="W118" s="30"/>
      <c r="X118" s="30"/>
    </row>
    <row r="119" spans="1:24" s="28" customFormat="1" ht="12.75" x14ac:dyDescent="0.2">
      <c r="A119" s="58"/>
      <c r="B119" s="59"/>
      <c r="C119" s="60"/>
      <c r="D119" s="58"/>
      <c r="E119" s="58"/>
      <c r="F119" s="58"/>
      <c r="G119" s="60"/>
      <c r="H119" s="58"/>
      <c r="I119" s="58"/>
      <c r="J119" s="58"/>
      <c r="K119" s="58"/>
      <c r="L119" s="30"/>
      <c r="M119" s="27"/>
      <c r="N119" s="27"/>
      <c r="O119" s="27"/>
      <c r="P119" s="27"/>
      <c r="Q119" s="27"/>
      <c r="R119" s="27"/>
      <c r="S119" s="27"/>
      <c r="T119" s="27"/>
      <c r="U119" s="30"/>
      <c r="V119" s="30"/>
      <c r="W119" s="30"/>
      <c r="X119" s="30"/>
    </row>
    <row r="120" spans="1:24" s="28" customFormat="1" ht="12.75" x14ac:dyDescent="0.2">
      <c r="A120" s="58"/>
      <c r="B120" s="59"/>
      <c r="C120" s="60"/>
      <c r="D120" s="58"/>
      <c r="E120" s="58"/>
      <c r="F120" s="58"/>
      <c r="G120" s="60"/>
      <c r="H120" s="58"/>
      <c r="I120" s="58"/>
      <c r="J120" s="58"/>
      <c r="K120" s="58"/>
      <c r="L120" s="30"/>
      <c r="M120" s="27"/>
      <c r="N120" s="27"/>
      <c r="O120" s="27"/>
      <c r="P120" s="27"/>
      <c r="Q120" s="27"/>
      <c r="R120" s="27"/>
      <c r="S120" s="27"/>
      <c r="T120" s="27"/>
      <c r="U120" s="30"/>
      <c r="V120" s="30"/>
      <c r="W120" s="30"/>
      <c r="X120" s="30"/>
    </row>
    <row r="121" spans="1:24" s="28" customFormat="1" ht="12.75" x14ac:dyDescent="0.2">
      <c r="A121" s="58"/>
      <c r="B121" s="59"/>
      <c r="C121" s="60"/>
      <c r="D121" s="58"/>
      <c r="E121" s="58"/>
      <c r="F121" s="58"/>
      <c r="G121" s="60"/>
      <c r="H121" s="58"/>
      <c r="I121" s="58"/>
      <c r="J121" s="58"/>
      <c r="K121" s="58"/>
      <c r="L121" s="30"/>
      <c r="M121" s="27"/>
      <c r="N121" s="27"/>
      <c r="O121" s="27"/>
      <c r="P121" s="27"/>
      <c r="Q121" s="27"/>
      <c r="R121" s="27"/>
      <c r="S121" s="27"/>
      <c r="T121" s="27"/>
      <c r="U121" s="30"/>
      <c r="V121" s="30"/>
      <c r="W121" s="30"/>
      <c r="X121" s="30"/>
    </row>
    <row r="122" spans="1:24" s="28" customFormat="1" ht="12.75" x14ac:dyDescent="0.2">
      <c r="A122" s="145" t="s">
        <v>118</v>
      </c>
      <c r="B122" s="146"/>
      <c r="C122" s="146"/>
      <c r="D122" s="146"/>
      <c r="E122" s="146"/>
      <c r="F122" s="146"/>
      <c r="G122" s="147"/>
      <c r="H122" s="147"/>
      <c r="I122" s="147"/>
      <c r="J122" s="147"/>
      <c r="K122" s="148"/>
      <c r="L122" s="30"/>
      <c r="M122" s="27"/>
      <c r="N122" s="27"/>
      <c r="O122" s="27"/>
      <c r="P122" s="27"/>
      <c r="Q122" s="27"/>
      <c r="R122" s="27"/>
      <c r="S122" s="27"/>
      <c r="T122" s="27"/>
      <c r="U122" s="30"/>
      <c r="V122" s="30"/>
      <c r="W122" s="30"/>
      <c r="X122" s="30"/>
    </row>
    <row r="123" spans="1:24" s="28" customFormat="1" ht="12.75" x14ac:dyDescent="0.2">
      <c r="A123" s="149"/>
      <c r="B123" s="149"/>
      <c r="C123" s="149"/>
      <c r="D123" s="150"/>
      <c r="E123" s="150"/>
      <c r="F123" s="151" t="s">
        <v>119</v>
      </c>
      <c r="G123" s="152" t="s">
        <v>120</v>
      </c>
      <c r="H123" s="153"/>
      <c r="I123" s="154"/>
      <c r="J123" s="154"/>
      <c r="K123" s="155"/>
      <c r="L123" s="30"/>
      <c r="M123" s="27"/>
      <c r="N123" s="27"/>
      <c r="O123" s="27"/>
      <c r="P123" s="27"/>
      <c r="Q123" s="27"/>
      <c r="R123" s="27"/>
      <c r="S123" s="27"/>
      <c r="T123" s="27"/>
      <c r="U123" s="30"/>
      <c r="V123" s="30"/>
      <c r="W123" s="30"/>
      <c r="X123" s="30"/>
    </row>
    <row r="124" spans="1:24" s="26" customFormat="1" ht="12.75" x14ac:dyDescent="0.2">
      <c r="M124" s="27"/>
      <c r="N124" s="27"/>
      <c r="O124" s="27"/>
      <c r="P124" s="27"/>
      <c r="Q124" s="27"/>
      <c r="R124" s="27"/>
      <c r="S124" s="27"/>
      <c r="T124" s="27"/>
    </row>
    <row r="125" spans="1:24" s="26" customFormat="1" ht="12.75" x14ac:dyDescent="0.2">
      <c r="M125" s="27"/>
      <c r="N125" s="27"/>
      <c r="O125" s="27"/>
      <c r="P125" s="27"/>
      <c r="Q125" s="27"/>
      <c r="R125" s="27"/>
      <c r="S125" s="27"/>
      <c r="T125" s="27"/>
    </row>
    <row r="126" spans="1:24" s="26" customFormat="1" ht="12.75" x14ac:dyDescent="0.2">
      <c r="M126" s="27"/>
      <c r="N126" s="27"/>
      <c r="O126" s="27"/>
      <c r="P126" s="27"/>
      <c r="Q126" s="27"/>
      <c r="R126" s="27"/>
      <c r="S126" s="27"/>
      <c r="T126" s="27"/>
    </row>
    <row r="127" spans="1:24" s="26" customFormat="1" ht="12.75" x14ac:dyDescent="0.2">
      <c r="M127" s="27"/>
      <c r="N127" s="27"/>
      <c r="O127" s="27"/>
      <c r="P127" s="27"/>
      <c r="Q127" s="27"/>
      <c r="R127" s="27"/>
      <c r="S127" s="27"/>
      <c r="T127" s="27"/>
    </row>
    <row r="128" spans="1:24"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sheetData>
  <dataValidations count="1">
    <dataValidation type="list" allowBlank="1" showInputMessage="1" showErrorMessage="1" sqref="C104">
      <formula1>"Normal,Utility,Acrobatic"</formula1>
    </dataValidation>
  </dataValidations>
  <hyperlinks>
    <hyperlink ref="G65" r:id="rId1"/>
    <hyperlink ref="G123" r:id="rId2"/>
  </hyperlinks>
  <pageMargins left="0.47244094488188998" right="0.23622047244094499" top="0.31496062992126" bottom="0.25" header="0.43307086614173201" footer="0.25"/>
  <pageSetup orientation="portrait" r:id="rId3"/>
  <headerFooter alignWithMargins="0"/>
  <rowBreaks count="1" manualBreakCount="1">
    <brk id="65" max="10" man="1"/>
  </rowBreak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531"/>
  <sheetViews>
    <sheetView view="pageBreakPreview" zoomScale="70" zoomScaleNormal="100" zoomScaleSheetLayoutView="70" workbookViewId="0">
      <selection activeCell="J30" sqref="J30"/>
    </sheetView>
  </sheetViews>
  <sheetFormatPr defaultColWidth="9.140625" defaultRowHeight="15.75" x14ac:dyDescent="0.25"/>
  <cols>
    <col min="1" max="1" width="9.140625" style="25"/>
    <col min="2" max="2" width="9.28515625" style="25" customWidth="1"/>
    <col min="3" max="3" width="9.5703125" style="25" customWidth="1"/>
    <col min="4" max="11" width="9.140625" style="25"/>
    <col min="12" max="12" width="5.42578125" style="26" customWidth="1"/>
    <col min="13" max="20" width="4.140625" style="27" customWidth="1"/>
    <col min="21" max="16384" width="9.140625" style="25"/>
  </cols>
  <sheetData>
    <row r="1" spans="1:46" s="5" customFormat="1" ht="12.75" x14ac:dyDescent="0.2">
      <c r="A1" s="1"/>
      <c r="B1" s="2" t="s">
        <v>1</v>
      </c>
      <c r="C1" s="3" t="str">
        <f>Analysis!C1</f>
        <v>R. Abbott</v>
      </c>
      <c r="D1" s="1"/>
      <c r="E1" s="1"/>
      <c r="F1" s="2" t="s">
        <v>11</v>
      </c>
      <c r="G1" s="3">
        <f>Analysis!G1</f>
        <v>17</v>
      </c>
      <c r="H1" s="1"/>
      <c r="I1" s="1"/>
      <c r="J1" s="1"/>
      <c r="K1" s="1"/>
      <c r="M1" s="6" t="s">
        <v>12</v>
      </c>
      <c r="N1" s="6" t="s">
        <v>13</v>
      </c>
      <c r="O1" s="6" t="s">
        <v>14</v>
      </c>
      <c r="P1" s="6" t="s">
        <v>14</v>
      </c>
      <c r="Q1" s="6" t="s">
        <v>14</v>
      </c>
      <c r="R1" s="6" t="s">
        <v>15</v>
      </c>
      <c r="S1" s="32" t="s">
        <v>16</v>
      </c>
      <c r="T1" s="33" t="s">
        <v>17</v>
      </c>
      <c r="W1" s="7" t="s">
        <v>18</v>
      </c>
      <c r="X1" s="8">
        <f>SUM(M:M)</f>
        <v>17</v>
      </c>
    </row>
    <row r="2" spans="1:46" s="5" customFormat="1" ht="12.75" x14ac:dyDescent="0.2">
      <c r="A2" s="1"/>
      <c r="B2" s="2" t="s">
        <v>2</v>
      </c>
      <c r="C2" s="3" t="s">
        <v>10</v>
      </c>
      <c r="D2" s="1"/>
      <c r="E2" s="1"/>
      <c r="F2" s="2" t="s">
        <v>5</v>
      </c>
      <c r="G2" s="3" t="str">
        <f>Analysis!G2</f>
        <v>AA-SM-515-000</v>
      </c>
      <c r="H2" s="1"/>
      <c r="I2" s="1"/>
      <c r="J2" s="1"/>
      <c r="K2" s="1"/>
      <c r="M2" s="9" t="s">
        <v>19</v>
      </c>
      <c r="N2" s="9" t="s">
        <v>19</v>
      </c>
      <c r="O2" s="9" t="s">
        <v>13</v>
      </c>
      <c r="P2" s="9" t="s">
        <v>13</v>
      </c>
      <c r="Q2" s="9" t="s">
        <v>13</v>
      </c>
      <c r="R2" s="9" t="s">
        <v>19</v>
      </c>
      <c r="S2" s="34" t="s">
        <v>19</v>
      </c>
      <c r="T2" s="35"/>
      <c r="W2" s="7" t="s">
        <v>20</v>
      </c>
      <c r="X2" s="8">
        <f>SUM(N:N)</f>
        <v>0</v>
      </c>
    </row>
    <row r="3" spans="1:46" s="5" customFormat="1" ht="12.75" x14ac:dyDescent="0.2">
      <c r="A3" s="1"/>
      <c r="B3" s="2" t="s">
        <v>3</v>
      </c>
      <c r="C3" s="3" t="str">
        <f>Analysis!C3</f>
        <v>05/03/2017</v>
      </c>
      <c r="D3" s="1"/>
      <c r="E3" s="1"/>
      <c r="F3" s="2" t="s">
        <v>4</v>
      </c>
      <c r="G3" s="3" t="str">
        <f>Analysis!G3</f>
        <v>IR</v>
      </c>
      <c r="H3" s="1"/>
      <c r="I3" s="1"/>
      <c r="J3" s="1"/>
      <c r="K3" s="1"/>
      <c r="M3" s="9"/>
      <c r="N3" s="9"/>
      <c r="O3" s="9"/>
      <c r="P3" s="9"/>
      <c r="Q3" s="9"/>
      <c r="R3" s="9"/>
      <c r="S3" s="34"/>
      <c r="T3" s="35"/>
      <c r="W3" s="7" t="s">
        <v>22</v>
      </c>
      <c r="X3" s="8">
        <f>SUM(O:O)</f>
        <v>0</v>
      </c>
    </row>
    <row r="4" spans="1:46" s="5" customFormat="1" ht="12.75" x14ac:dyDescent="0.2">
      <c r="A4" s="1"/>
      <c r="B4" s="2" t="s">
        <v>23</v>
      </c>
      <c r="C4" s="3"/>
      <c r="D4" s="1"/>
      <c r="E4" s="1"/>
      <c r="F4" s="2" t="s">
        <v>24</v>
      </c>
      <c r="G4" s="3" t="str">
        <f>Analysis!G4</f>
        <v>SIMPLIFIED PART 23 AIRCRAFT LOADS</v>
      </c>
      <c r="H4" s="1"/>
      <c r="I4" s="1"/>
      <c r="J4" s="1"/>
      <c r="K4" s="1"/>
      <c r="M4" s="9">
        <f>SUM('Rudder Load'!M:M)</f>
        <v>14</v>
      </c>
      <c r="N4" s="9"/>
      <c r="O4" s="9"/>
      <c r="P4" s="9"/>
      <c r="Q4" s="11"/>
      <c r="R4" s="12"/>
      <c r="S4" s="36"/>
      <c r="T4" s="35"/>
      <c r="W4" s="7" t="s">
        <v>22</v>
      </c>
      <c r="X4" s="8">
        <f>SUM(P:P)</f>
        <v>0</v>
      </c>
    </row>
    <row r="5" spans="1:46" s="5" customFormat="1" ht="12.75" x14ac:dyDescent="0.2">
      <c r="A5" s="1"/>
      <c r="B5" s="2" t="s">
        <v>26</v>
      </c>
      <c r="C5" s="3" t="str">
        <f>Analysis!C5</f>
        <v>STANDARD SPREADSHEET METHOD</v>
      </c>
      <c r="D5" s="1"/>
      <c r="E5" s="2"/>
      <c r="F5" s="1"/>
      <c r="G5" s="1"/>
      <c r="H5" s="1"/>
      <c r="I5" s="1"/>
      <c r="J5" s="1"/>
      <c r="K5" s="1"/>
      <c r="M5" s="9"/>
      <c r="N5" s="9"/>
      <c r="O5" s="9"/>
      <c r="P5" s="9"/>
      <c r="Q5" s="11"/>
      <c r="R5" s="12"/>
      <c r="S5" s="36"/>
      <c r="T5" s="35"/>
      <c r="W5" s="7" t="s">
        <v>22</v>
      </c>
      <c r="X5" s="8">
        <f>SUM(Q:Q)</f>
        <v>0</v>
      </c>
    </row>
    <row r="6" spans="1:46"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46" s="5" customFormat="1" ht="12.75" x14ac:dyDescent="0.2">
      <c r="A7" s="1"/>
      <c r="B7" s="1"/>
      <c r="C7" s="1"/>
      <c r="D7" s="1"/>
      <c r="E7" s="1"/>
      <c r="F7" s="1"/>
      <c r="G7" s="1"/>
      <c r="H7" s="1"/>
      <c r="I7" s="1"/>
      <c r="J7" s="1"/>
      <c r="K7" s="1"/>
      <c r="M7" s="9"/>
      <c r="N7" s="9"/>
      <c r="O7" s="9"/>
      <c r="P7" s="9"/>
      <c r="Q7" s="11"/>
      <c r="R7" s="12"/>
      <c r="S7" s="36"/>
      <c r="T7" s="35"/>
      <c r="W7" s="7" t="s">
        <v>28</v>
      </c>
      <c r="X7" s="8">
        <f>SUM(S:S)</f>
        <v>0</v>
      </c>
    </row>
    <row r="8" spans="1:46" s="5" customFormat="1" ht="12.75" x14ac:dyDescent="0.2">
      <c r="A8" s="14"/>
      <c r="E8" s="7" t="s">
        <v>1</v>
      </c>
      <c r="F8" s="8" t="str">
        <f>$C$1</f>
        <v>R. Abbott</v>
      </c>
      <c r="H8" s="15"/>
      <c r="I8" s="7" t="s">
        <v>8</v>
      </c>
      <c r="J8" s="16" t="str">
        <f>$G$2</f>
        <v>AA-SM-515-000</v>
      </c>
      <c r="K8" s="17"/>
      <c r="L8" s="18"/>
      <c r="M8" s="9"/>
      <c r="N8" s="9"/>
      <c r="O8" s="9"/>
      <c r="P8" s="9"/>
      <c r="Q8" s="11"/>
      <c r="R8" s="12"/>
      <c r="S8" s="36"/>
      <c r="T8" s="35"/>
    </row>
    <row r="9" spans="1:46" s="5" customFormat="1" ht="12.75" x14ac:dyDescent="0.2">
      <c r="E9" s="7" t="s">
        <v>2</v>
      </c>
      <c r="F9" s="15" t="str">
        <f>$C$2</f>
        <v xml:space="preserve"> </v>
      </c>
      <c r="H9" s="15"/>
      <c r="I9" s="7" t="s">
        <v>9</v>
      </c>
      <c r="J9" s="17" t="str">
        <f>$G$3</f>
        <v>IR</v>
      </c>
      <c r="K9" s="17"/>
      <c r="L9" s="18"/>
      <c r="M9" s="9">
        <v>1</v>
      </c>
      <c r="N9" s="9"/>
      <c r="O9" s="9"/>
      <c r="P9" s="9"/>
      <c r="Q9" s="11"/>
      <c r="R9" s="12"/>
      <c r="S9" s="36"/>
      <c r="T9" s="35"/>
    </row>
    <row r="10" spans="1:46" s="5" customFormat="1" ht="12.75" x14ac:dyDescent="0.2">
      <c r="E10" s="7" t="s">
        <v>3</v>
      </c>
      <c r="F10" s="15" t="str">
        <f>$C$3</f>
        <v>05/03/2017</v>
      </c>
      <c r="H10" s="15"/>
      <c r="I10" s="7" t="s">
        <v>6</v>
      </c>
      <c r="J10" s="8" t="str">
        <f>L10&amp;" of "&amp;$G$1</f>
        <v>15 of 17</v>
      </c>
      <c r="K10" s="15"/>
      <c r="L10" s="18">
        <f>SUM($M$1:M9)</f>
        <v>15</v>
      </c>
      <c r="M10" s="9"/>
      <c r="N10" s="9"/>
      <c r="O10" s="9"/>
      <c r="P10" s="9"/>
      <c r="Q10" s="11"/>
      <c r="R10" s="12"/>
      <c r="S10" s="36"/>
      <c r="T10" s="35"/>
      <c r="W10" s="18"/>
      <c r="X10" s="18"/>
      <c r="Y10" s="18"/>
      <c r="Z10" s="18"/>
      <c r="AA10" s="18"/>
      <c r="AB10" s="18"/>
    </row>
    <row r="11" spans="1:46" s="5" customFormat="1" ht="12.75" x14ac:dyDescent="0.2">
      <c r="A11" s="26"/>
      <c r="B11" s="26"/>
      <c r="C11" s="26"/>
      <c r="D11" s="26"/>
      <c r="E11" s="7" t="s">
        <v>29</v>
      </c>
      <c r="F11" s="15" t="str">
        <f>$C$5</f>
        <v>STANDARD SPREADSHEET METHOD</v>
      </c>
      <c r="I11" s="19"/>
      <c r="J11" s="8"/>
      <c r="M11" s="9"/>
      <c r="N11" s="9"/>
      <c r="O11" s="9"/>
      <c r="P11" s="9"/>
      <c r="Q11" s="9"/>
      <c r="R11" s="9"/>
      <c r="S11" s="34"/>
      <c r="T11" s="35"/>
      <c r="W11" s="179" t="s">
        <v>160</v>
      </c>
      <c r="X11" s="7">
        <f>F47/30</f>
        <v>0.16666666666666666</v>
      </c>
      <c r="Y11" s="47" t="s">
        <v>136</v>
      </c>
      <c r="Z11" s="18" t="s">
        <v>151</v>
      </c>
      <c r="AA11" s="18">
        <f>(K41-A41)/F47</f>
        <v>0.2</v>
      </c>
      <c r="AB11" s="18">
        <f>(AY26-AX21)/F47</f>
        <v>0</v>
      </c>
      <c r="AE11" s="5" t="s">
        <v>172</v>
      </c>
      <c r="AH11" s="28" t="s">
        <v>167</v>
      </c>
      <c r="AI11" s="28"/>
      <c r="AJ11" s="28"/>
      <c r="AO11" s="5" t="s">
        <v>173</v>
      </c>
    </row>
    <row r="12" spans="1:46" s="28" customFormat="1" x14ac:dyDescent="0.25">
      <c r="A12" s="70"/>
      <c r="B12" s="21" t="str">
        <f>$G$4</f>
        <v>SIMPLIFIED PART 23 AIRCRAFT LOADS</v>
      </c>
      <c r="C12" s="71"/>
      <c r="D12" s="71"/>
      <c r="E12" s="72"/>
      <c r="F12" s="71"/>
      <c r="G12" s="71"/>
      <c r="H12" s="71"/>
      <c r="I12" s="71"/>
      <c r="J12" s="71"/>
      <c r="K12" s="71"/>
      <c r="L12" s="30"/>
      <c r="M12" s="37"/>
      <c r="N12" s="38"/>
      <c r="O12" s="38"/>
      <c r="P12" s="38"/>
      <c r="Q12" s="38"/>
      <c r="R12" s="37"/>
      <c r="S12" s="37"/>
      <c r="T12" s="39"/>
      <c r="W12" s="59"/>
      <c r="X12" s="135">
        <f>X11*12</f>
        <v>2</v>
      </c>
      <c r="Y12" s="187" t="s">
        <v>139</v>
      </c>
      <c r="Z12" s="59" t="s">
        <v>152</v>
      </c>
      <c r="AA12" s="177">
        <f>A41</f>
        <v>2</v>
      </c>
      <c r="AB12" s="177">
        <f>AX21</f>
        <v>0</v>
      </c>
      <c r="AH12" s="28" t="s">
        <v>171</v>
      </c>
      <c r="AI12" s="185">
        <f>D50/AG51</f>
        <v>1.7639160156250003E-2</v>
      </c>
      <c r="AO12" s="176">
        <f>C32</f>
        <v>56.692041522491351</v>
      </c>
    </row>
    <row r="13" spans="1:46" s="26" customFormat="1" ht="12.75" x14ac:dyDescent="0.2">
      <c r="A13" s="73"/>
      <c r="B13" s="73" t="s">
        <v>47</v>
      </c>
      <c r="C13" s="73"/>
      <c r="D13" s="73"/>
      <c r="E13" s="73"/>
      <c r="F13" s="73"/>
      <c r="G13" s="73"/>
      <c r="H13" s="73"/>
      <c r="I13" s="73"/>
      <c r="J13" s="73"/>
      <c r="K13" s="73"/>
      <c r="L13" s="29"/>
      <c r="M13" s="27"/>
      <c r="N13" s="27"/>
      <c r="O13" s="27"/>
      <c r="P13" s="27"/>
      <c r="Q13" s="27"/>
      <c r="R13" s="27"/>
      <c r="S13" s="27"/>
      <c r="T13" s="27"/>
      <c r="W13" s="29"/>
      <c r="X13" s="29"/>
      <c r="Y13" s="29"/>
      <c r="Z13" s="29"/>
      <c r="AA13" s="29"/>
      <c r="AB13" s="29"/>
    </row>
    <row r="14" spans="1:46" s="75" customFormat="1" ht="12.75" x14ac:dyDescent="0.2">
      <c r="A14" s="73"/>
      <c r="B14" s="114" t="s">
        <v>220</v>
      </c>
      <c r="C14" s="73"/>
      <c r="D14" s="76"/>
      <c r="E14" s="73"/>
      <c r="F14" s="73"/>
      <c r="G14" s="77"/>
      <c r="H14" s="73"/>
      <c r="I14" s="73"/>
      <c r="J14" s="73"/>
      <c r="K14" s="73"/>
      <c r="M14" s="156"/>
      <c r="N14" s="156"/>
      <c r="O14" s="156"/>
      <c r="P14" s="156"/>
      <c r="Q14" s="156"/>
      <c r="R14" s="156"/>
      <c r="S14" s="156"/>
      <c r="T14" s="156"/>
      <c r="W14" s="159"/>
      <c r="X14" s="159"/>
      <c r="Y14" s="159"/>
      <c r="Z14" s="159"/>
      <c r="AA14" s="159"/>
      <c r="AB14" s="159"/>
      <c r="AC14" s="159"/>
      <c r="AD14" s="159"/>
      <c r="AQ14" s="75" t="s">
        <v>230</v>
      </c>
      <c r="AS14" s="75" t="s">
        <v>231</v>
      </c>
    </row>
    <row r="15" spans="1:46" s="75" customFormat="1" ht="12.75" x14ac:dyDescent="0.2">
      <c r="A15" s="73"/>
      <c r="C15" s="73"/>
      <c r="D15" s="76"/>
      <c r="E15" s="73"/>
      <c r="F15" s="73"/>
      <c r="G15" s="73"/>
      <c r="H15" s="73"/>
      <c r="I15" s="73"/>
      <c r="J15" s="73"/>
      <c r="K15" s="73"/>
      <c r="M15" s="156"/>
      <c r="N15" s="156"/>
      <c r="O15" s="156"/>
      <c r="P15" s="156"/>
      <c r="Q15" s="156"/>
      <c r="R15" s="156"/>
      <c r="S15" s="156"/>
      <c r="T15" s="156"/>
      <c r="V15" s="88"/>
      <c r="Y15" s="159"/>
      <c r="Z15" s="83"/>
      <c r="AA15" s="83" t="s">
        <v>145</v>
      </c>
      <c r="AB15" s="83" t="s">
        <v>153</v>
      </c>
      <c r="AC15" s="83" t="s">
        <v>157</v>
      </c>
      <c r="AD15" s="83" t="s">
        <v>157</v>
      </c>
      <c r="AE15" s="159" t="s">
        <v>165</v>
      </c>
      <c r="AF15" s="159" t="s">
        <v>165</v>
      </c>
      <c r="AG15" s="83" t="s">
        <v>169</v>
      </c>
      <c r="AH15" s="159" t="s">
        <v>165</v>
      </c>
      <c r="AI15" s="159" t="s">
        <v>165</v>
      </c>
      <c r="AJ15" s="83" t="s">
        <v>169</v>
      </c>
      <c r="AK15" s="159" t="s">
        <v>168</v>
      </c>
      <c r="AL15" s="159" t="s">
        <v>168</v>
      </c>
      <c r="AM15" s="83" t="s">
        <v>169</v>
      </c>
      <c r="AN15" s="159" t="s">
        <v>170</v>
      </c>
      <c r="AO15" s="83" t="s">
        <v>169</v>
      </c>
      <c r="AP15" s="83" t="s">
        <v>169</v>
      </c>
      <c r="AQ15" s="83" t="s">
        <v>169</v>
      </c>
      <c r="AR15" s="83" t="s">
        <v>169</v>
      </c>
      <c r="AS15" s="83" t="s">
        <v>169</v>
      </c>
      <c r="AT15" s="83" t="s">
        <v>169</v>
      </c>
    </row>
    <row r="16" spans="1:46" s="77" customFormat="1" ht="13.5" customHeight="1" x14ac:dyDescent="0.2">
      <c r="B16" s="75" t="s">
        <v>187</v>
      </c>
      <c r="L16" s="157"/>
      <c r="M16" s="156"/>
      <c r="N16" s="156"/>
      <c r="O16" s="156"/>
      <c r="P16" s="156"/>
      <c r="Q16" s="156"/>
      <c r="R16" s="156"/>
      <c r="S16" s="156"/>
      <c r="T16" s="156"/>
      <c r="U16" s="157"/>
      <c r="V16" s="88"/>
      <c r="W16" s="18"/>
      <c r="Y16" s="18"/>
      <c r="Z16" s="83" t="s">
        <v>148</v>
      </c>
      <c r="AA16" s="83" t="s">
        <v>150</v>
      </c>
      <c r="AB16" s="83" t="s">
        <v>155</v>
      </c>
      <c r="AC16" s="83" t="s">
        <v>158</v>
      </c>
      <c r="AD16" s="83" t="s">
        <v>161</v>
      </c>
      <c r="AE16" s="83" t="s">
        <v>158</v>
      </c>
      <c r="AF16" s="83" t="s">
        <v>161</v>
      </c>
      <c r="AG16" s="159" t="s">
        <v>165</v>
      </c>
      <c r="AH16" s="83" t="s">
        <v>158</v>
      </c>
      <c r="AI16" s="83" t="s">
        <v>161</v>
      </c>
      <c r="AJ16" s="159" t="s">
        <v>165</v>
      </c>
      <c r="AK16" s="83" t="s">
        <v>158</v>
      </c>
      <c r="AL16" s="83" t="s">
        <v>161</v>
      </c>
      <c r="AM16" s="83" t="s">
        <v>168</v>
      </c>
      <c r="AN16" s="171" t="s">
        <v>168</v>
      </c>
      <c r="AO16" s="159" t="s">
        <v>165</v>
      </c>
      <c r="AP16" s="83" t="s">
        <v>168</v>
      </c>
      <c r="AQ16" s="159" t="s">
        <v>165</v>
      </c>
      <c r="AR16" s="83" t="s">
        <v>168</v>
      </c>
      <c r="AS16" s="159" t="s">
        <v>165</v>
      </c>
      <c r="AT16" s="83" t="s">
        <v>168</v>
      </c>
    </row>
    <row r="17" spans="1:52" s="77" customFormat="1" ht="14.25" x14ac:dyDescent="0.25">
      <c r="B17" s="80" t="s">
        <v>123</v>
      </c>
      <c r="C17" s="96">
        <f>Analysis!C44</f>
        <v>104.16455158597188</v>
      </c>
      <c r="D17" s="110" t="s">
        <v>72</v>
      </c>
      <c r="E17" s="96"/>
      <c r="F17" s="111" t="s">
        <v>125</v>
      </c>
      <c r="G17" s="96">
        <f>Analysis!C47</f>
        <v>118.05315846410147</v>
      </c>
      <c r="H17" s="110" t="s">
        <v>72</v>
      </c>
      <c r="L17" s="157"/>
      <c r="M17" s="156"/>
      <c r="N17" s="156"/>
      <c r="O17" s="156"/>
      <c r="P17" s="156"/>
      <c r="Q17" s="156"/>
      <c r="R17" s="156"/>
      <c r="S17" s="156"/>
      <c r="T17" s="156"/>
      <c r="U17" s="157"/>
      <c r="V17" s="88"/>
      <c r="W17" s="59"/>
      <c r="X17" s="59" t="s">
        <v>145</v>
      </c>
      <c r="Y17" s="59" t="s">
        <v>145</v>
      </c>
      <c r="Z17" s="83" t="s">
        <v>145</v>
      </c>
      <c r="AA17" s="171" t="s">
        <v>154</v>
      </c>
      <c r="AB17" s="171" t="s">
        <v>154</v>
      </c>
      <c r="AC17" s="171" t="s">
        <v>153</v>
      </c>
      <c r="AD17" s="171" t="s">
        <v>153</v>
      </c>
      <c r="AE17" s="83" t="s">
        <v>153</v>
      </c>
      <c r="AF17" s="83" t="s">
        <v>153</v>
      </c>
      <c r="AG17" s="171"/>
      <c r="AH17" s="83" t="s">
        <v>153</v>
      </c>
      <c r="AI17" s="83" t="s">
        <v>153</v>
      </c>
      <c r="AJ17" s="171"/>
      <c r="AK17" s="83" t="s">
        <v>153</v>
      </c>
      <c r="AL17" s="83" t="s">
        <v>153</v>
      </c>
      <c r="AM17" s="83"/>
      <c r="AN17" s="171"/>
      <c r="AQ17" s="171" t="s">
        <v>174</v>
      </c>
      <c r="AR17" s="171" t="s">
        <v>174</v>
      </c>
      <c r="AS17" s="171" t="s">
        <v>174</v>
      </c>
      <c r="AT17" s="171" t="s">
        <v>174</v>
      </c>
    </row>
    <row r="18" spans="1:52" s="77" customFormat="1" ht="14.25" x14ac:dyDescent="0.25">
      <c r="B18" s="80" t="s">
        <v>124</v>
      </c>
      <c r="C18" s="192">
        <f>Analysis!F43</f>
        <v>120</v>
      </c>
      <c r="D18" s="110" t="s">
        <v>72</v>
      </c>
      <c r="E18" s="96"/>
      <c r="F18" s="111" t="s">
        <v>126</v>
      </c>
      <c r="G18" s="192">
        <f>Analysis!F46</f>
        <v>160</v>
      </c>
      <c r="H18" s="110" t="s">
        <v>72</v>
      </c>
      <c r="L18" s="157"/>
      <c r="M18" s="156"/>
      <c r="N18" s="156"/>
      <c r="O18" s="156"/>
      <c r="P18" s="156"/>
      <c r="Q18" s="156"/>
      <c r="R18" s="156"/>
      <c r="S18" s="156"/>
      <c r="T18" s="156"/>
      <c r="U18" s="157"/>
      <c r="V18" s="88"/>
      <c r="W18" s="29" t="s">
        <v>145</v>
      </c>
      <c r="X18" s="29" t="s">
        <v>146</v>
      </c>
      <c r="Y18" s="29" t="s">
        <v>147</v>
      </c>
      <c r="Z18" s="83" t="s">
        <v>149</v>
      </c>
      <c r="AA18" s="159" t="s">
        <v>149</v>
      </c>
      <c r="AB18" s="159" t="s">
        <v>149</v>
      </c>
      <c r="AC18" s="83" t="s">
        <v>159</v>
      </c>
      <c r="AD18" s="83" t="s">
        <v>159</v>
      </c>
      <c r="AE18" s="83" t="s">
        <v>159</v>
      </c>
      <c r="AF18" s="83" t="s">
        <v>159</v>
      </c>
      <c r="AG18" s="171"/>
      <c r="AH18" s="83" t="s">
        <v>159</v>
      </c>
      <c r="AI18" s="83" t="s">
        <v>159</v>
      </c>
      <c r="AJ18" s="171"/>
      <c r="AK18" s="83" t="s">
        <v>159</v>
      </c>
      <c r="AL18" s="83" t="s">
        <v>159</v>
      </c>
      <c r="AM18" s="83"/>
      <c r="AN18" s="171"/>
      <c r="AQ18" s="171" t="s">
        <v>175</v>
      </c>
      <c r="AR18" s="171" t="s">
        <v>175</v>
      </c>
      <c r="AS18" s="171" t="s">
        <v>175</v>
      </c>
      <c r="AT18" s="171" t="s">
        <v>175</v>
      </c>
    </row>
    <row r="19" spans="1:52" s="77" customFormat="1" ht="12.75" x14ac:dyDescent="0.2">
      <c r="A19" s="73"/>
      <c r="B19" s="73"/>
      <c r="C19" s="73"/>
      <c r="D19" s="76"/>
      <c r="E19" s="73"/>
      <c r="F19" s="73"/>
      <c r="G19" s="73"/>
      <c r="H19" s="73"/>
      <c r="I19" s="73"/>
      <c r="J19" s="73"/>
      <c r="K19" s="73"/>
      <c r="L19" s="157"/>
      <c r="M19" s="156"/>
      <c r="N19" s="156"/>
      <c r="O19" s="156"/>
      <c r="P19" s="156"/>
      <c r="Q19" s="156"/>
      <c r="R19" s="156"/>
      <c r="S19" s="156"/>
      <c r="T19" s="156"/>
      <c r="U19" s="157"/>
      <c r="V19" s="88"/>
      <c r="X19" s="171" t="s">
        <v>156</v>
      </c>
      <c r="Y19" s="171" t="s">
        <v>156</v>
      </c>
      <c r="Z19" s="171" t="s">
        <v>156</v>
      </c>
      <c r="AA19" s="171" t="s">
        <v>156</v>
      </c>
      <c r="AB19" s="171" t="s">
        <v>156</v>
      </c>
      <c r="AC19" s="171" t="s">
        <v>162</v>
      </c>
      <c r="AD19" s="171" t="s">
        <v>162</v>
      </c>
      <c r="AE19" s="83" t="s">
        <v>166</v>
      </c>
      <c r="AF19" s="83" t="s">
        <v>166</v>
      </c>
      <c r="AG19" s="83" t="s">
        <v>166</v>
      </c>
      <c r="AH19" s="83" t="s">
        <v>166</v>
      </c>
      <c r="AI19" s="83" t="s">
        <v>166</v>
      </c>
      <c r="AJ19" s="83" t="s">
        <v>166</v>
      </c>
      <c r="AK19" s="83" t="s">
        <v>177</v>
      </c>
      <c r="AL19" s="83" t="s">
        <v>177</v>
      </c>
      <c r="AM19" s="83" t="s">
        <v>177</v>
      </c>
      <c r="AN19" s="83" t="s">
        <v>177</v>
      </c>
      <c r="AO19" s="83" t="s">
        <v>166</v>
      </c>
      <c r="AP19" s="83" t="s">
        <v>177</v>
      </c>
      <c r="AQ19" s="83" t="s">
        <v>176</v>
      </c>
      <c r="AR19" s="83" t="s">
        <v>178</v>
      </c>
      <c r="AS19" s="83" t="s">
        <v>176</v>
      </c>
      <c r="AT19" s="83" t="s">
        <v>178</v>
      </c>
      <c r="AX19" s="79" t="s">
        <v>138</v>
      </c>
    </row>
    <row r="20" spans="1:52" s="77" customFormat="1" ht="12.75" x14ac:dyDescent="0.2">
      <c r="B20" s="77" t="s">
        <v>127</v>
      </c>
      <c r="L20" s="157"/>
      <c r="M20" s="156"/>
      <c r="N20" s="156"/>
      <c r="O20" s="156"/>
      <c r="P20" s="156"/>
      <c r="Q20" s="156"/>
      <c r="R20" s="156"/>
      <c r="S20" s="156"/>
      <c r="T20" s="156"/>
      <c r="U20" s="157"/>
      <c r="V20" s="88"/>
      <c r="W20" s="159">
        <v>1</v>
      </c>
      <c r="X20" s="178">
        <f>0</f>
        <v>0</v>
      </c>
      <c r="Y20" s="178">
        <f>X11</f>
        <v>0.16666666666666666</v>
      </c>
      <c r="Z20" s="84">
        <f>(X20+Y20)/2</f>
        <v>8.3333333333333329E-2</v>
      </c>
      <c r="AA20" s="178">
        <f>$AA$11*Z20+$AA$12</f>
        <v>2.0166666666666666</v>
      </c>
      <c r="AB20" s="178">
        <f>$AB$11*Z20+$AB$12</f>
        <v>0</v>
      </c>
      <c r="AC20" s="178">
        <f>AB20*$X$11</f>
        <v>0</v>
      </c>
      <c r="AD20" s="181">
        <f>(AA20-AB20)*$X$11</f>
        <v>0.33611111111111108</v>
      </c>
      <c r="AE20" s="182">
        <f>AC20</f>
        <v>0</v>
      </c>
      <c r="AF20" s="162">
        <f>AD20*$C$32</f>
        <v>19.054825067281815</v>
      </c>
      <c r="AG20" s="181">
        <f>AE20+AF20</f>
        <v>19.054825067281815</v>
      </c>
      <c r="AH20" s="180">
        <f>AE20*$AI$12</f>
        <v>0</v>
      </c>
      <c r="AI20" s="180">
        <f>AF20*$AI$12</f>
        <v>0.33611111111111119</v>
      </c>
      <c r="AJ20" s="180">
        <f>AG20*$AI$12</f>
        <v>0.33611111111111119</v>
      </c>
      <c r="AK20" s="183">
        <f>AH20*AB20/2</f>
        <v>0</v>
      </c>
      <c r="AL20" s="183">
        <f>-(((AJ20/3)*AA20/3)+((2*AJ20/3)*AA20/2))</f>
        <v>-0.30125514403292186</v>
      </c>
      <c r="AM20" s="186">
        <f>AK20+AL20</f>
        <v>-0.30125514403292186</v>
      </c>
      <c r="AN20" s="180">
        <f>SUM($AM$19:AM20)</f>
        <v>-0.30125514403292186</v>
      </c>
      <c r="AO20" s="181">
        <f>AJ20*$AO$12</f>
        <v>19.054825067281818</v>
      </c>
      <c r="AP20" s="181">
        <f>AM20*$AO$12</f>
        <v>-17.078769134378518</v>
      </c>
      <c r="AQ20" s="188">
        <f>AO20/$X$11</f>
        <v>114.32895040369091</v>
      </c>
      <c r="AR20" s="188">
        <f>AP20/$X$11</f>
        <v>-102.47261480627111</v>
      </c>
      <c r="AS20" s="188">
        <f>-0.25*AQ20</f>
        <v>-28.582237600922728</v>
      </c>
      <c r="AT20" s="188">
        <f>-0.25*AR20</f>
        <v>25.618153701567778</v>
      </c>
      <c r="AX20" s="79" t="s">
        <v>137</v>
      </c>
    </row>
    <row r="21" spans="1:52" s="77" customFormat="1" ht="12.75" x14ac:dyDescent="0.2">
      <c r="B21" s="80" t="s">
        <v>82</v>
      </c>
      <c r="C21" s="77" t="str">
        <f>[1]!xln(C22)</f>
        <v>(120 / 104)²</v>
      </c>
      <c r="F21" s="80" t="s">
        <v>82</v>
      </c>
      <c r="G21" s="77" t="str">
        <f>[1]!xln(G22)</f>
        <v>(160 / 118)²</v>
      </c>
      <c r="L21" s="157"/>
      <c r="M21" s="156"/>
      <c r="N21" s="156"/>
      <c r="O21" s="156"/>
      <c r="P21" s="156"/>
      <c r="Q21" s="156"/>
      <c r="R21" s="156"/>
      <c r="S21" s="156"/>
      <c r="T21" s="156"/>
      <c r="U21" s="157"/>
      <c r="V21" s="88"/>
      <c r="W21" s="88">
        <v>2</v>
      </c>
      <c r="X21" s="178">
        <f>Y20</f>
        <v>0.16666666666666666</v>
      </c>
      <c r="Y21" s="84">
        <f t="shared" ref="Y21:Y49" si="0">X21+$X$11</f>
        <v>0.33333333333333331</v>
      </c>
      <c r="Z21" s="84">
        <f t="shared" ref="Z21:Z49" si="1">(X21+Y21)/2</f>
        <v>0.25</v>
      </c>
      <c r="AA21" s="178">
        <f t="shared" ref="AA21:AA49" si="2">$AA$11*Z21+$AA$12</f>
        <v>2.0499999999999998</v>
      </c>
      <c r="AB21" s="178">
        <f t="shared" ref="AB21:AB49" si="3">$AB$11*Z21+$AB$12</f>
        <v>0</v>
      </c>
      <c r="AC21" s="178">
        <f t="shared" ref="AC21:AC49" si="4">AB21*$X$11</f>
        <v>0</v>
      </c>
      <c r="AD21" s="181">
        <f t="shared" ref="AD21:AD49" si="5">(AA21-AB21)*$X$11</f>
        <v>0.34166666666666662</v>
      </c>
      <c r="AE21" s="182">
        <f t="shared" ref="AE21:AE49" si="6">AC21</f>
        <v>0</v>
      </c>
      <c r="AF21" s="162">
        <f t="shared" ref="AF21:AF49" si="7">AD21*$C$32</f>
        <v>19.369780853517877</v>
      </c>
      <c r="AG21" s="181">
        <f t="shared" ref="AG21:AG49" si="8">AE21+AF21</f>
        <v>19.369780853517877</v>
      </c>
      <c r="AH21" s="180">
        <f t="shared" ref="AH21:AJ49" si="9">AE21*$AI$12</f>
        <v>0</v>
      </c>
      <c r="AI21" s="180">
        <f t="shared" si="9"/>
        <v>0.34166666666666673</v>
      </c>
      <c r="AJ21" s="180">
        <f t="shared" si="9"/>
        <v>0.34166666666666673</v>
      </c>
      <c r="AK21" s="183">
        <f>AH21*AB21/2</f>
        <v>0</v>
      </c>
      <c r="AL21" s="183">
        <f t="shared" ref="AL21:AL49" si="10">-(((AJ21/3)*AA21/3)+((2*AJ21/3)*AA21/2))</f>
        <v>-0.31129629629629635</v>
      </c>
      <c r="AM21" s="186">
        <f t="shared" ref="AM21:AM49" si="11">AK21+AL21</f>
        <v>-0.31129629629629635</v>
      </c>
      <c r="AN21" s="180">
        <f>SUM($AM$19:AM21)</f>
        <v>-0.61255144032921827</v>
      </c>
      <c r="AO21" s="181">
        <f t="shared" ref="AO21:AO49" si="12">AJ21*$AO$12</f>
        <v>19.369780853517881</v>
      </c>
      <c r="AP21" s="181">
        <f t="shared" ref="AP21:AP49" si="13">AM21*$AO$12</f>
        <v>-17.648022555427403</v>
      </c>
      <c r="AQ21" s="188">
        <f t="shared" ref="AQ21:AR49" si="14">AO21/$X$11</f>
        <v>116.21868512110728</v>
      </c>
      <c r="AR21" s="188">
        <f t="shared" si="14"/>
        <v>-105.88813533256442</v>
      </c>
      <c r="AS21" s="188">
        <f t="shared" ref="AS21:AS49" si="15">-0.25*AQ21</f>
        <v>-29.054671280276821</v>
      </c>
      <c r="AT21" s="188">
        <f t="shared" ref="AT21:AT49" si="16">-0.25*AR21</f>
        <v>26.472033833141104</v>
      </c>
      <c r="AX21" s="173">
        <v>0</v>
      </c>
      <c r="AY21" s="77" t="s">
        <v>136</v>
      </c>
    </row>
    <row r="22" spans="1:52" s="77" customFormat="1" ht="12.75" x14ac:dyDescent="0.2">
      <c r="B22" s="80" t="s">
        <v>82</v>
      </c>
      <c r="C22" s="115">
        <f>(C18/C17)^2</f>
        <v>1.3271578947368421</v>
      </c>
      <c r="D22" s="170"/>
      <c r="E22" s="170"/>
      <c r="F22" s="136" t="s">
        <v>82</v>
      </c>
      <c r="G22" s="115">
        <f>(G18/G17)^2</f>
        <v>1.8368967401201968</v>
      </c>
      <c r="L22" s="157"/>
      <c r="M22" s="156"/>
      <c r="N22" s="156"/>
      <c r="O22" s="156"/>
      <c r="P22" s="156"/>
      <c r="Q22" s="156"/>
      <c r="R22" s="156"/>
      <c r="S22" s="156"/>
      <c r="T22" s="156"/>
      <c r="U22" s="157"/>
      <c r="V22" s="88"/>
      <c r="W22" s="88">
        <v>3</v>
      </c>
      <c r="X22" s="178">
        <f t="shared" ref="X22:X49" si="17">Y21</f>
        <v>0.33333333333333331</v>
      </c>
      <c r="Y22" s="84">
        <f t="shared" si="0"/>
        <v>0.5</v>
      </c>
      <c r="Z22" s="84">
        <f t="shared" si="1"/>
        <v>0.41666666666666663</v>
      </c>
      <c r="AA22" s="178">
        <f t="shared" si="2"/>
        <v>2.0833333333333335</v>
      </c>
      <c r="AB22" s="178">
        <f t="shared" si="3"/>
        <v>0</v>
      </c>
      <c r="AC22" s="178">
        <f t="shared" si="4"/>
        <v>0</v>
      </c>
      <c r="AD22" s="181">
        <f t="shared" si="5"/>
        <v>0.34722222222222221</v>
      </c>
      <c r="AE22" s="182">
        <f t="shared" si="6"/>
        <v>0</v>
      </c>
      <c r="AF22" s="162">
        <f t="shared" si="7"/>
        <v>19.68473663975394</v>
      </c>
      <c r="AG22" s="181">
        <f t="shared" si="8"/>
        <v>19.68473663975394</v>
      </c>
      <c r="AH22" s="180">
        <f t="shared" si="9"/>
        <v>0</v>
      </c>
      <c r="AI22" s="180">
        <f t="shared" si="9"/>
        <v>0.34722222222222227</v>
      </c>
      <c r="AJ22" s="180">
        <f t="shared" si="9"/>
        <v>0.34722222222222227</v>
      </c>
      <c r="AK22" s="183">
        <f t="shared" ref="AK22:AK49" si="18">AH22*AB22/2</f>
        <v>0</v>
      </c>
      <c r="AL22" s="183">
        <f t="shared" si="10"/>
        <v>-0.3215020576131688</v>
      </c>
      <c r="AM22" s="186">
        <f t="shared" si="11"/>
        <v>-0.3215020576131688</v>
      </c>
      <c r="AN22" s="180">
        <f>SUM($AM$19:AM22)</f>
        <v>-0.93405349794238712</v>
      </c>
      <c r="AO22" s="181">
        <f t="shared" si="12"/>
        <v>19.684736639753943</v>
      </c>
      <c r="AP22" s="181">
        <f t="shared" si="13"/>
        <v>-18.226607999772174</v>
      </c>
      <c r="AQ22" s="188">
        <f t="shared" si="14"/>
        <v>118.10841983852366</v>
      </c>
      <c r="AR22" s="188">
        <f t="shared" si="14"/>
        <v>-109.35964799863305</v>
      </c>
      <c r="AS22" s="188">
        <f t="shared" si="15"/>
        <v>-29.527104959630915</v>
      </c>
      <c r="AT22" s="188">
        <f t="shared" si="16"/>
        <v>27.339911999658263</v>
      </c>
    </row>
    <row r="23" spans="1:52" s="77" customFormat="1" ht="12.75" x14ac:dyDescent="0.2">
      <c r="B23" s="76"/>
      <c r="C23" s="76"/>
      <c r="D23" s="101"/>
      <c r="F23" s="80"/>
      <c r="L23" s="157"/>
      <c r="M23" s="156"/>
      <c r="N23" s="156"/>
      <c r="O23" s="156"/>
      <c r="P23" s="156"/>
      <c r="Q23" s="156"/>
      <c r="R23" s="156"/>
      <c r="S23" s="156"/>
      <c r="T23" s="156"/>
      <c r="U23" s="157"/>
      <c r="V23" s="88"/>
      <c r="W23" s="88">
        <v>4</v>
      </c>
      <c r="X23" s="178">
        <f t="shared" si="17"/>
        <v>0.5</v>
      </c>
      <c r="Y23" s="84">
        <f t="shared" si="0"/>
        <v>0.66666666666666663</v>
      </c>
      <c r="Z23" s="84">
        <f t="shared" si="1"/>
        <v>0.58333333333333326</v>
      </c>
      <c r="AA23" s="178">
        <f t="shared" si="2"/>
        <v>2.1166666666666667</v>
      </c>
      <c r="AB23" s="178">
        <f t="shared" si="3"/>
        <v>0</v>
      </c>
      <c r="AC23" s="178">
        <f t="shared" si="4"/>
        <v>0</v>
      </c>
      <c r="AD23" s="181">
        <f t="shared" si="5"/>
        <v>0.35277777777777775</v>
      </c>
      <c r="AE23" s="182">
        <f t="shared" si="6"/>
        <v>0</v>
      </c>
      <c r="AF23" s="162">
        <f t="shared" si="7"/>
        <v>19.999692425990002</v>
      </c>
      <c r="AG23" s="181">
        <f t="shared" si="8"/>
        <v>19.999692425990002</v>
      </c>
      <c r="AH23" s="180">
        <f t="shared" si="9"/>
        <v>0</v>
      </c>
      <c r="AI23" s="180">
        <f t="shared" si="9"/>
        <v>0.3527777777777778</v>
      </c>
      <c r="AJ23" s="180">
        <f t="shared" si="9"/>
        <v>0.3527777777777778</v>
      </c>
      <c r="AK23" s="183">
        <f t="shared" si="18"/>
        <v>0</v>
      </c>
      <c r="AL23" s="183">
        <f t="shared" si="10"/>
        <v>-0.33187242798353911</v>
      </c>
      <c r="AM23" s="186">
        <f t="shared" si="11"/>
        <v>-0.33187242798353911</v>
      </c>
      <c r="AN23" s="180">
        <f>SUM($AM$19:AM23)</f>
        <v>-1.2659259259259263</v>
      </c>
      <c r="AO23" s="181">
        <f t="shared" si="12"/>
        <v>19.999692425990006</v>
      </c>
      <c r="AP23" s="181">
        <f t="shared" si="13"/>
        <v>-18.814525467412821</v>
      </c>
      <c r="AQ23" s="188">
        <f t="shared" si="14"/>
        <v>119.99815455594003</v>
      </c>
      <c r="AR23" s="188">
        <f t="shared" si="14"/>
        <v>-112.88715280447693</v>
      </c>
      <c r="AS23" s="188">
        <f t="shared" si="15"/>
        <v>-29.999538638985008</v>
      </c>
      <c r="AT23" s="188">
        <f t="shared" si="16"/>
        <v>28.221788201119232</v>
      </c>
    </row>
    <row r="24" spans="1:52" s="77" customFormat="1" ht="12.75" x14ac:dyDescent="0.2">
      <c r="A24" s="73"/>
      <c r="B24" s="77" t="s">
        <v>129</v>
      </c>
      <c r="G24" s="73"/>
      <c r="K24" s="73"/>
      <c r="L24" s="157"/>
      <c r="M24" s="156"/>
      <c r="N24" s="156"/>
      <c r="O24" s="156"/>
      <c r="P24" s="156"/>
      <c r="Q24" s="156"/>
      <c r="R24" s="156"/>
      <c r="S24" s="156"/>
      <c r="T24" s="156"/>
      <c r="U24" s="157"/>
      <c r="V24" s="88"/>
      <c r="W24" s="88">
        <v>5</v>
      </c>
      <c r="X24" s="178">
        <f t="shared" si="17"/>
        <v>0.66666666666666663</v>
      </c>
      <c r="Y24" s="84">
        <f t="shared" si="0"/>
        <v>0.83333333333333326</v>
      </c>
      <c r="Z24" s="84">
        <f t="shared" si="1"/>
        <v>0.75</v>
      </c>
      <c r="AA24" s="178">
        <f t="shared" si="2"/>
        <v>2.15</v>
      </c>
      <c r="AB24" s="178">
        <f t="shared" si="3"/>
        <v>0</v>
      </c>
      <c r="AC24" s="178">
        <f t="shared" si="4"/>
        <v>0</v>
      </c>
      <c r="AD24" s="181">
        <f t="shared" si="5"/>
        <v>0.35833333333333328</v>
      </c>
      <c r="AE24" s="182">
        <f t="shared" si="6"/>
        <v>0</v>
      </c>
      <c r="AF24" s="162">
        <f t="shared" si="7"/>
        <v>20.314648212226064</v>
      </c>
      <c r="AG24" s="181">
        <f t="shared" si="8"/>
        <v>20.314648212226064</v>
      </c>
      <c r="AH24" s="180">
        <f t="shared" si="9"/>
        <v>0</v>
      </c>
      <c r="AI24" s="180">
        <f t="shared" si="9"/>
        <v>0.35833333333333334</v>
      </c>
      <c r="AJ24" s="180">
        <f t="shared" si="9"/>
        <v>0.35833333333333334</v>
      </c>
      <c r="AK24" s="183">
        <f t="shared" si="18"/>
        <v>0</v>
      </c>
      <c r="AL24" s="183">
        <f t="shared" si="10"/>
        <v>-0.34240740740740744</v>
      </c>
      <c r="AM24" s="186">
        <f t="shared" si="11"/>
        <v>-0.34240740740740744</v>
      </c>
      <c r="AN24" s="180">
        <f>SUM($AM$19:AM24)</f>
        <v>-1.6083333333333338</v>
      </c>
      <c r="AO24" s="181">
        <f t="shared" si="12"/>
        <v>20.314648212226068</v>
      </c>
      <c r="AP24" s="181">
        <f t="shared" si="13"/>
        <v>-19.411774958349355</v>
      </c>
      <c r="AQ24" s="188">
        <f t="shared" si="14"/>
        <v>121.88788927335641</v>
      </c>
      <c r="AR24" s="188">
        <f t="shared" si="14"/>
        <v>-116.47064975009613</v>
      </c>
      <c r="AS24" s="188">
        <f t="shared" si="15"/>
        <v>-30.471972318339102</v>
      </c>
      <c r="AT24" s="188">
        <f t="shared" si="16"/>
        <v>29.117662437524032</v>
      </c>
      <c r="AZ24" s="103" t="s">
        <v>138</v>
      </c>
    </row>
    <row r="25" spans="1:52" s="77" customFormat="1" ht="12.75" x14ac:dyDescent="0.2">
      <c r="A25" s="73"/>
      <c r="B25" s="80" t="s">
        <v>82</v>
      </c>
      <c r="C25" s="115">
        <f>MAX(C22,G22)</f>
        <v>1.8368967401201968</v>
      </c>
      <c r="G25" s="73"/>
      <c r="K25" s="73"/>
      <c r="L25" s="157"/>
      <c r="M25" s="156"/>
      <c r="N25" s="156"/>
      <c r="O25" s="156"/>
      <c r="P25" s="156"/>
      <c r="Q25" s="156"/>
      <c r="R25" s="156"/>
      <c r="S25" s="156"/>
      <c r="T25" s="156"/>
      <c r="U25" s="157"/>
      <c r="V25" s="88"/>
      <c r="W25" s="88">
        <v>6</v>
      </c>
      <c r="X25" s="178">
        <f t="shared" si="17"/>
        <v>0.83333333333333326</v>
      </c>
      <c r="Y25" s="84">
        <f t="shared" si="0"/>
        <v>0.99999999999999989</v>
      </c>
      <c r="Z25" s="84">
        <f t="shared" si="1"/>
        <v>0.91666666666666652</v>
      </c>
      <c r="AA25" s="178">
        <f t="shared" si="2"/>
        <v>2.1833333333333331</v>
      </c>
      <c r="AB25" s="178">
        <f t="shared" si="3"/>
        <v>0</v>
      </c>
      <c r="AC25" s="178">
        <f t="shared" si="4"/>
        <v>0</v>
      </c>
      <c r="AD25" s="181">
        <f t="shared" si="5"/>
        <v>0.36388888888888882</v>
      </c>
      <c r="AE25" s="182">
        <f t="shared" si="6"/>
        <v>0</v>
      </c>
      <c r="AF25" s="162">
        <f t="shared" si="7"/>
        <v>20.629603998462127</v>
      </c>
      <c r="AG25" s="181">
        <f t="shared" si="8"/>
        <v>20.629603998462127</v>
      </c>
      <c r="AH25" s="180">
        <f t="shared" si="9"/>
        <v>0</v>
      </c>
      <c r="AI25" s="180">
        <f t="shared" si="9"/>
        <v>0.36388888888888893</v>
      </c>
      <c r="AJ25" s="180">
        <f t="shared" si="9"/>
        <v>0.36388888888888893</v>
      </c>
      <c r="AK25" s="183">
        <f t="shared" si="18"/>
        <v>0</v>
      </c>
      <c r="AL25" s="183">
        <f t="shared" si="10"/>
        <v>-0.35310699588477368</v>
      </c>
      <c r="AM25" s="186">
        <f t="shared" si="11"/>
        <v>-0.35310699588477368</v>
      </c>
      <c r="AN25" s="180">
        <f>SUM($AM$19:AM25)</f>
        <v>-1.9614403292181075</v>
      </c>
      <c r="AO25" s="181">
        <f t="shared" si="12"/>
        <v>20.629603998462134</v>
      </c>
      <c r="AP25" s="181">
        <f t="shared" si="13"/>
        <v>-20.018356472581772</v>
      </c>
      <c r="AQ25" s="188">
        <f t="shared" si="14"/>
        <v>123.77762399077281</v>
      </c>
      <c r="AR25" s="188">
        <f t="shared" si="14"/>
        <v>-120.11013883549063</v>
      </c>
      <c r="AS25" s="188">
        <f t="shared" si="15"/>
        <v>-30.944405997693202</v>
      </c>
      <c r="AT25" s="188">
        <f t="shared" si="16"/>
        <v>30.027534708872658</v>
      </c>
      <c r="AZ25" s="103" t="s">
        <v>137</v>
      </c>
    </row>
    <row r="26" spans="1:52" s="77" customFormat="1" ht="12.75" x14ac:dyDescent="0.2">
      <c r="A26" s="79"/>
      <c r="I26" s="73"/>
      <c r="J26" s="73"/>
      <c r="K26" s="73"/>
      <c r="L26" s="157"/>
      <c r="M26" s="156"/>
      <c r="N26" s="156"/>
      <c r="O26" s="156"/>
      <c r="P26" s="156"/>
      <c r="Q26" s="156"/>
      <c r="R26" s="156"/>
      <c r="S26" s="156"/>
      <c r="T26" s="156"/>
      <c r="U26" s="157"/>
      <c r="V26" s="88"/>
      <c r="W26" s="88">
        <v>7</v>
      </c>
      <c r="X26" s="178">
        <f t="shared" si="17"/>
        <v>0.99999999999999989</v>
      </c>
      <c r="Y26" s="84">
        <f t="shared" si="0"/>
        <v>1.1666666666666665</v>
      </c>
      <c r="Z26" s="84">
        <f t="shared" si="1"/>
        <v>1.0833333333333333</v>
      </c>
      <c r="AA26" s="178">
        <f t="shared" si="2"/>
        <v>2.2166666666666668</v>
      </c>
      <c r="AB26" s="178">
        <f t="shared" si="3"/>
        <v>0</v>
      </c>
      <c r="AC26" s="178">
        <f t="shared" si="4"/>
        <v>0</v>
      </c>
      <c r="AD26" s="181">
        <f t="shared" si="5"/>
        <v>0.36944444444444446</v>
      </c>
      <c r="AE26" s="182">
        <f t="shared" si="6"/>
        <v>0</v>
      </c>
      <c r="AF26" s="162">
        <f t="shared" si="7"/>
        <v>20.944559784698196</v>
      </c>
      <c r="AG26" s="181">
        <f t="shared" si="8"/>
        <v>20.944559784698196</v>
      </c>
      <c r="AH26" s="180">
        <f t="shared" si="9"/>
        <v>0</v>
      </c>
      <c r="AI26" s="180">
        <f t="shared" si="9"/>
        <v>0.36944444444444458</v>
      </c>
      <c r="AJ26" s="180">
        <f t="shared" si="9"/>
        <v>0.36944444444444458</v>
      </c>
      <c r="AK26" s="183">
        <f t="shared" si="18"/>
        <v>0</v>
      </c>
      <c r="AL26" s="183">
        <f t="shared" si="10"/>
        <v>-0.36397119341563799</v>
      </c>
      <c r="AM26" s="186">
        <f t="shared" si="11"/>
        <v>-0.36397119341563799</v>
      </c>
      <c r="AN26" s="180">
        <f>SUM($AM$19:AM26)</f>
        <v>-2.3254115226337455</v>
      </c>
      <c r="AO26" s="181">
        <f t="shared" si="12"/>
        <v>20.9445597846982</v>
      </c>
      <c r="AP26" s="181">
        <f t="shared" si="13"/>
        <v>-20.634270010110079</v>
      </c>
      <c r="AQ26" s="188">
        <f t="shared" si="14"/>
        <v>125.6673587081892</v>
      </c>
      <c r="AR26" s="188">
        <f t="shared" si="14"/>
        <v>-123.80562006066047</v>
      </c>
      <c r="AS26" s="188">
        <f t="shared" si="15"/>
        <v>-31.4168396770473</v>
      </c>
      <c r="AT26" s="188">
        <f t="shared" si="16"/>
        <v>30.951405015165118</v>
      </c>
      <c r="AY26" s="173">
        <v>0</v>
      </c>
      <c r="AZ26" s="77" t="s">
        <v>136</v>
      </c>
    </row>
    <row r="27" spans="1:52" s="77" customFormat="1" ht="12.75" x14ac:dyDescent="0.2">
      <c r="B27" s="77" t="s">
        <v>221</v>
      </c>
      <c r="L27" s="157"/>
      <c r="M27" s="156"/>
      <c r="N27" s="156"/>
      <c r="O27" s="156"/>
      <c r="P27" s="156"/>
      <c r="Q27" s="156"/>
      <c r="R27" s="156"/>
      <c r="S27" s="156"/>
      <c r="T27" s="156"/>
      <c r="U27" s="157"/>
      <c r="V27" s="88"/>
      <c r="W27" s="88">
        <v>8</v>
      </c>
      <c r="X27" s="178">
        <f t="shared" si="17"/>
        <v>1.1666666666666665</v>
      </c>
      <c r="Y27" s="84">
        <f t="shared" si="0"/>
        <v>1.3333333333333333</v>
      </c>
      <c r="Z27" s="84">
        <f t="shared" si="1"/>
        <v>1.25</v>
      </c>
      <c r="AA27" s="178">
        <f t="shared" si="2"/>
        <v>2.25</v>
      </c>
      <c r="AB27" s="178">
        <f t="shared" si="3"/>
        <v>0</v>
      </c>
      <c r="AC27" s="178">
        <f t="shared" si="4"/>
        <v>0</v>
      </c>
      <c r="AD27" s="181">
        <f t="shared" si="5"/>
        <v>0.375</v>
      </c>
      <c r="AE27" s="182">
        <f t="shared" si="6"/>
        <v>0</v>
      </c>
      <c r="AF27" s="162">
        <f t="shared" si="7"/>
        <v>21.259515570934255</v>
      </c>
      <c r="AG27" s="181">
        <f t="shared" si="8"/>
        <v>21.259515570934255</v>
      </c>
      <c r="AH27" s="180">
        <f t="shared" si="9"/>
        <v>0</v>
      </c>
      <c r="AI27" s="180">
        <f t="shared" si="9"/>
        <v>0.37500000000000006</v>
      </c>
      <c r="AJ27" s="180">
        <f t="shared" si="9"/>
        <v>0.37500000000000006</v>
      </c>
      <c r="AK27" s="183">
        <f t="shared" si="18"/>
        <v>0</v>
      </c>
      <c r="AL27" s="183">
        <f t="shared" si="10"/>
        <v>-0.37500000000000006</v>
      </c>
      <c r="AM27" s="186">
        <f t="shared" si="11"/>
        <v>-0.37500000000000006</v>
      </c>
      <c r="AN27" s="180">
        <f>SUM($AM$19:AM27)</f>
        <v>-2.7004115226337455</v>
      </c>
      <c r="AO27" s="181">
        <f t="shared" si="12"/>
        <v>21.259515570934258</v>
      </c>
      <c r="AP27" s="181">
        <f t="shared" si="13"/>
        <v>-21.259515570934258</v>
      </c>
      <c r="AQ27" s="188">
        <f t="shared" si="14"/>
        <v>127.55709342560556</v>
      </c>
      <c r="AR27" s="188">
        <f t="shared" si="14"/>
        <v>-127.55709342560556</v>
      </c>
      <c r="AS27" s="188">
        <f t="shared" si="15"/>
        <v>-31.889273356401389</v>
      </c>
      <c r="AT27" s="188">
        <f t="shared" si="16"/>
        <v>31.889273356401389</v>
      </c>
    </row>
    <row r="28" spans="1:52" s="77" customFormat="1" ht="12.75" x14ac:dyDescent="0.2">
      <c r="B28" s="77" t="s">
        <v>130</v>
      </c>
      <c r="L28" s="157"/>
      <c r="M28" s="156"/>
      <c r="N28" s="156"/>
      <c r="O28" s="156"/>
      <c r="P28" s="156"/>
      <c r="Q28" s="156"/>
      <c r="R28" s="156"/>
      <c r="S28" s="156"/>
      <c r="T28" s="156"/>
      <c r="U28" s="157"/>
      <c r="V28" s="88"/>
      <c r="W28" s="88">
        <v>9</v>
      </c>
      <c r="X28" s="178">
        <f t="shared" si="17"/>
        <v>1.3333333333333333</v>
      </c>
      <c r="Y28" s="84">
        <f t="shared" si="0"/>
        <v>1.5</v>
      </c>
      <c r="Z28" s="84">
        <f t="shared" si="1"/>
        <v>1.4166666666666665</v>
      </c>
      <c r="AA28" s="178">
        <f t="shared" si="2"/>
        <v>2.2833333333333332</v>
      </c>
      <c r="AB28" s="178">
        <f t="shared" si="3"/>
        <v>0</v>
      </c>
      <c r="AC28" s="178">
        <f t="shared" si="4"/>
        <v>0</v>
      </c>
      <c r="AD28" s="181">
        <f t="shared" si="5"/>
        <v>0.38055555555555554</v>
      </c>
      <c r="AE28" s="182">
        <f t="shared" si="6"/>
        <v>0</v>
      </c>
      <c r="AF28" s="162">
        <f t="shared" si="7"/>
        <v>21.574471357170317</v>
      </c>
      <c r="AG28" s="181">
        <f t="shared" si="8"/>
        <v>21.574471357170317</v>
      </c>
      <c r="AH28" s="180">
        <f t="shared" si="9"/>
        <v>0</v>
      </c>
      <c r="AI28" s="180">
        <f t="shared" si="9"/>
        <v>0.38055555555555559</v>
      </c>
      <c r="AJ28" s="180">
        <f t="shared" si="9"/>
        <v>0.38055555555555559</v>
      </c>
      <c r="AK28" s="183">
        <f t="shared" si="18"/>
        <v>0</v>
      </c>
      <c r="AL28" s="183">
        <f t="shared" si="10"/>
        <v>-0.38619341563786008</v>
      </c>
      <c r="AM28" s="186">
        <f t="shared" si="11"/>
        <v>-0.38619341563786008</v>
      </c>
      <c r="AN28" s="180">
        <f>SUM($AM$19:AM28)</f>
        <v>-3.0866049382716056</v>
      </c>
      <c r="AO28" s="181">
        <f t="shared" si="12"/>
        <v>21.574471357170321</v>
      </c>
      <c r="AP28" s="181">
        <f t="shared" si="13"/>
        <v>-21.894093155054325</v>
      </c>
      <c r="AQ28" s="188">
        <f t="shared" si="14"/>
        <v>129.44682814302195</v>
      </c>
      <c r="AR28" s="188">
        <f t="shared" si="14"/>
        <v>-131.36455893032596</v>
      </c>
      <c r="AS28" s="188">
        <f t="shared" si="15"/>
        <v>-32.361707035755487</v>
      </c>
      <c r="AT28" s="188">
        <f t="shared" si="16"/>
        <v>32.841139732581489</v>
      </c>
    </row>
    <row r="29" spans="1:52" s="77" customFormat="1" ht="12.75" x14ac:dyDescent="0.2">
      <c r="B29" s="80" t="s">
        <v>122</v>
      </c>
      <c r="C29" s="167">
        <f>Analysis!F310</f>
        <v>30.862944162436548</v>
      </c>
      <c r="D29" s="91" t="s">
        <v>106</v>
      </c>
      <c r="E29" s="73"/>
      <c r="F29" s="73"/>
      <c r="L29" s="157"/>
      <c r="M29" s="156"/>
      <c r="N29" s="156"/>
      <c r="O29" s="156"/>
      <c r="P29" s="156"/>
      <c r="Q29" s="156"/>
      <c r="R29" s="156"/>
      <c r="S29" s="156"/>
      <c r="T29" s="156"/>
      <c r="U29" s="157"/>
      <c r="V29" s="88"/>
      <c r="W29" s="88">
        <v>10</v>
      </c>
      <c r="X29" s="178">
        <f t="shared" si="17"/>
        <v>1.5</v>
      </c>
      <c r="Y29" s="84">
        <f t="shared" si="0"/>
        <v>1.6666666666666667</v>
      </c>
      <c r="Z29" s="84">
        <f t="shared" si="1"/>
        <v>1.5833333333333335</v>
      </c>
      <c r="AA29" s="178">
        <f t="shared" si="2"/>
        <v>2.3166666666666669</v>
      </c>
      <c r="AB29" s="178">
        <f t="shared" si="3"/>
        <v>0</v>
      </c>
      <c r="AC29" s="178">
        <f t="shared" si="4"/>
        <v>0</v>
      </c>
      <c r="AD29" s="181">
        <f t="shared" si="5"/>
        <v>0.38611111111111113</v>
      </c>
      <c r="AE29" s="182">
        <f t="shared" si="6"/>
        <v>0</v>
      </c>
      <c r="AF29" s="162">
        <f t="shared" si="7"/>
        <v>21.889427143406383</v>
      </c>
      <c r="AG29" s="181">
        <f t="shared" si="8"/>
        <v>21.889427143406383</v>
      </c>
      <c r="AH29" s="180">
        <f t="shared" si="9"/>
        <v>0</v>
      </c>
      <c r="AI29" s="180">
        <f t="shared" si="9"/>
        <v>0.38611111111111118</v>
      </c>
      <c r="AJ29" s="180">
        <f t="shared" si="9"/>
        <v>0.38611111111111118</v>
      </c>
      <c r="AK29" s="183">
        <f t="shared" si="18"/>
        <v>0</v>
      </c>
      <c r="AL29" s="183">
        <f t="shared" si="10"/>
        <v>-0.39755144032921824</v>
      </c>
      <c r="AM29" s="186">
        <f t="shared" si="11"/>
        <v>-0.39755144032921824</v>
      </c>
      <c r="AN29" s="180">
        <f>SUM($AM$19:AM29)</f>
        <v>-3.4841563786008241</v>
      </c>
      <c r="AO29" s="181">
        <f t="shared" si="12"/>
        <v>21.889427143406387</v>
      </c>
      <c r="AP29" s="181">
        <f t="shared" si="13"/>
        <v>-22.538002762470285</v>
      </c>
      <c r="AQ29" s="188">
        <f t="shared" si="14"/>
        <v>131.33656286043833</v>
      </c>
      <c r="AR29" s="188">
        <f t="shared" si="14"/>
        <v>-135.22801657482171</v>
      </c>
      <c r="AS29" s="188">
        <f t="shared" si="15"/>
        <v>-32.834140715109584</v>
      </c>
      <c r="AT29" s="188">
        <f t="shared" si="16"/>
        <v>33.807004143705427</v>
      </c>
    </row>
    <row r="30" spans="1:52" s="77" customFormat="1" ht="12.75" x14ac:dyDescent="0.2">
      <c r="B30" s="169" t="s">
        <v>131</v>
      </c>
      <c r="C30" s="104"/>
      <c r="D30" s="101"/>
      <c r="E30" s="73"/>
      <c r="F30" s="73"/>
      <c r="L30" s="157"/>
      <c r="M30" s="156"/>
      <c r="N30" s="156"/>
      <c r="O30" s="156"/>
      <c r="P30" s="156"/>
      <c r="Q30" s="156"/>
      <c r="R30" s="156"/>
      <c r="S30" s="156"/>
      <c r="T30" s="156"/>
      <c r="U30" s="157"/>
      <c r="V30" s="88"/>
      <c r="W30" s="88">
        <v>11</v>
      </c>
      <c r="X30" s="178">
        <f t="shared" si="17"/>
        <v>1.6666666666666667</v>
      </c>
      <c r="Y30" s="84">
        <f t="shared" si="0"/>
        <v>1.8333333333333335</v>
      </c>
      <c r="Z30" s="84">
        <f t="shared" si="1"/>
        <v>1.75</v>
      </c>
      <c r="AA30" s="178">
        <f t="shared" si="2"/>
        <v>2.35</v>
      </c>
      <c r="AB30" s="178">
        <f t="shared" si="3"/>
        <v>0</v>
      </c>
      <c r="AC30" s="178">
        <f t="shared" si="4"/>
        <v>0</v>
      </c>
      <c r="AD30" s="181">
        <f t="shared" si="5"/>
        <v>0.39166666666666666</v>
      </c>
      <c r="AE30" s="182">
        <f t="shared" si="6"/>
        <v>0</v>
      </c>
      <c r="AF30" s="162">
        <f t="shared" si="7"/>
        <v>22.204382929642446</v>
      </c>
      <c r="AG30" s="181">
        <f t="shared" si="8"/>
        <v>22.204382929642446</v>
      </c>
      <c r="AH30" s="180">
        <f t="shared" si="9"/>
        <v>0</v>
      </c>
      <c r="AI30" s="180">
        <f t="shared" si="9"/>
        <v>0.39166666666666677</v>
      </c>
      <c r="AJ30" s="180">
        <f t="shared" si="9"/>
        <v>0.39166666666666677</v>
      </c>
      <c r="AK30" s="183">
        <f t="shared" si="18"/>
        <v>0</v>
      </c>
      <c r="AL30" s="183">
        <f t="shared" si="10"/>
        <v>-0.4090740740740742</v>
      </c>
      <c r="AM30" s="186">
        <f t="shared" si="11"/>
        <v>-0.4090740740740742</v>
      </c>
      <c r="AN30" s="180">
        <f>SUM($AM$19:AM30)</f>
        <v>-3.8932304526748984</v>
      </c>
      <c r="AO30" s="181">
        <f t="shared" si="12"/>
        <v>22.204382929642453</v>
      </c>
      <c r="AP30" s="181">
        <f t="shared" si="13"/>
        <v>-23.191244393182117</v>
      </c>
      <c r="AQ30" s="188">
        <f t="shared" si="14"/>
        <v>133.22629757785472</v>
      </c>
      <c r="AR30" s="188">
        <f t="shared" si="14"/>
        <v>-139.1474663590927</v>
      </c>
      <c r="AS30" s="188">
        <f t="shared" si="15"/>
        <v>-33.306574394463681</v>
      </c>
      <c r="AT30" s="188">
        <f t="shared" si="16"/>
        <v>34.786866589773176</v>
      </c>
    </row>
    <row r="31" spans="1:52" s="77" customFormat="1" ht="12.75" x14ac:dyDescent="0.2">
      <c r="B31" s="80" t="s">
        <v>82</v>
      </c>
      <c r="C31" s="77" t="str">
        <f>[1]!xln(C32)</f>
        <v>30.9 × 1.84</v>
      </c>
      <c r="L31" s="157"/>
      <c r="M31" s="156"/>
      <c r="N31" s="156"/>
      <c r="O31" s="156"/>
      <c r="P31" s="156"/>
      <c r="Q31" s="156"/>
      <c r="R31" s="156"/>
      <c r="S31" s="156"/>
      <c r="T31" s="156"/>
      <c r="U31" s="157"/>
      <c r="V31" s="88"/>
      <c r="W31" s="88">
        <v>12</v>
      </c>
      <c r="X31" s="178">
        <f t="shared" si="17"/>
        <v>1.8333333333333335</v>
      </c>
      <c r="Y31" s="84">
        <f t="shared" si="0"/>
        <v>2</v>
      </c>
      <c r="Z31" s="84">
        <f t="shared" si="1"/>
        <v>1.9166666666666667</v>
      </c>
      <c r="AA31" s="178">
        <f t="shared" si="2"/>
        <v>2.3833333333333333</v>
      </c>
      <c r="AB31" s="178">
        <f t="shared" si="3"/>
        <v>0</v>
      </c>
      <c r="AC31" s="178">
        <f t="shared" si="4"/>
        <v>0</v>
      </c>
      <c r="AD31" s="181">
        <f t="shared" si="5"/>
        <v>0.3972222222222222</v>
      </c>
      <c r="AE31" s="182">
        <f t="shared" si="6"/>
        <v>0</v>
      </c>
      <c r="AF31" s="162">
        <f t="shared" si="7"/>
        <v>22.519338715878508</v>
      </c>
      <c r="AG31" s="181">
        <f t="shared" si="8"/>
        <v>22.519338715878508</v>
      </c>
      <c r="AH31" s="180">
        <f t="shared" si="9"/>
        <v>0</v>
      </c>
      <c r="AI31" s="180">
        <f t="shared" si="9"/>
        <v>0.39722222222222231</v>
      </c>
      <c r="AJ31" s="180">
        <f t="shared" si="9"/>
        <v>0.39722222222222231</v>
      </c>
      <c r="AK31" s="183">
        <f t="shared" si="18"/>
        <v>0</v>
      </c>
      <c r="AL31" s="183">
        <f t="shared" si="10"/>
        <v>-0.42076131687242807</v>
      </c>
      <c r="AM31" s="186">
        <f t="shared" si="11"/>
        <v>-0.42076131687242807</v>
      </c>
      <c r="AN31" s="180">
        <f>SUM($AM$19:AM31)</f>
        <v>-4.3139917695473269</v>
      </c>
      <c r="AO31" s="181">
        <f t="shared" si="12"/>
        <v>22.519338715878515</v>
      </c>
      <c r="AP31" s="181">
        <f t="shared" si="13"/>
        <v>-23.853818047189833</v>
      </c>
      <c r="AQ31" s="188">
        <f t="shared" si="14"/>
        <v>135.11603229527111</v>
      </c>
      <c r="AR31" s="188">
        <f t="shared" si="14"/>
        <v>-143.122908283139</v>
      </c>
      <c r="AS31" s="188">
        <f t="shared" si="15"/>
        <v>-33.779008073817778</v>
      </c>
      <c r="AT31" s="188">
        <f t="shared" si="16"/>
        <v>35.780727070784749</v>
      </c>
    </row>
    <row r="32" spans="1:52" s="77" customFormat="1" ht="12.75" x14ac:dyDescent="0.2">
      <c r="A32" s="79"/>
      <c r="B32" s="80" t="s">
        <v>82</v>
      </c>
      <c r="C32" s="170">
        <f>C29*C25</f>
        <v>56.692041522491351</v>
      </c>
      <c r="D32" s="91" t="s">
        <v>106</v>
      </c>
      <c r="E32" s="73"/>
      <c r="F32" s="73"/>
      <c r="G32" s="73"/>
      <c r="H32" s="81"/>
      <c r="K32" s="73"/>
      <c r="L32" s="157"/>
      <c r="M32" s="156"/>
      <c r="N32" s="156"/>
      <c r="O32" s="156"/>
      <c r="P32" s="156"/>
      <c r="Q32" s="156"/>
      <c r="R32" s="156"/>
      <c r="S32" s="156"/>
      <c r="T32" s="156"/>
      <c r="U32" s="157"/>
      <c r="V32" s="88"/>
      <c r="W32" s="88">
        <v>13</v>
      </c>
      <c r="X32" s="178">
        <f t="shared" si="17"/>
        <v>2</v>
      </c>
      <c r="Y32" s="84">
        <f t="shared" si="0"/>
        <v>2.1666666666666665</v>
      </c>
      <c r="Z32" s="84">
        <f t="shared" si="1"/>
        <v>2.083333333333333</v>
      </c>
      <c r="AA32" s="178">
        <f t="shared" si="2"/>
        <v>2.4166666666666665</v>
      </c>
      <c r="AB32" s="178">
        <f t="shared" si="3"/>
        <v>0</v>
      </c>
      <c r="AC32" s="178">
        <f t="shared" si="4"/>
        <v>0</v>
      </c>
      <c r="AD32" s="181">
        <f t="shared" si="5"/>
        <v>0.40277777777777773</v>
      </c>
      <c r="AE32" s="182">
        <f t="shared" si="6"/>
        <v>0</v>
      </c>
      <c r="AF32" s="162">
        <f t="shared" si="7"/>
        <v>22.83429450211457</v>
      </c>
      <c r="AG32" s="181">
        <f t="shared" si="8"/>
        <v>22.83429450211457</v>
      </c>
      <c r="AH32" s="180">
        <f t="shared" si="9"/>
        <v>0</v>
      </c>
      <c r="AI32" s="180">
        <f t="shared" si="9"/>
        <v>0.40277777777777785</v>
      </c>
      <c r="AJ32" s="180">
        <f t="shared" si="9"/>
        <v>0.40277777777777785</v>
      </c>
      <c r="AK32" s="183">
        <f t="shared" si="18"/>
        <v>0</v>
      </c>
      <c r="AL32" s="183">
        <f t="shared" si="10"/>
        <v>-0.43261316872427985</v>
      </c>
      <c r="AM32" s="186">
        <f t="shared" si="11"/>
        <v>-0.43261316872427985</v>
      </c>
      <c r="AN32" s="180">
        <f>SUM($AM$19:AM32)</f>
        <v>-4.7466049382716067</v>
      </c>
      <c r="AO32" s="181">
        <f t="shared" si="12"/>
        <v>22.834294502114577</v>
      </c>
      <c r="AP32" s="181">
        <f t="shared" si="13"/>
        <v>-24.525723724493432</v>
      </c>
      <c r="AQ32" s="188">
        <f t="shared" si="14"/>
        <v>137.00576701268747</v>
      </c>
      <c r="AR32" s="188">
        <f t="shared" si="14"/>
        <v>-147.15434234696059</v>
      </c>
      <c r="AS32" s="188">
        <f t="shared" si="15"/>
        <v>-34.251441753171868</v>
      </c>
      <c r="AT32" s="188">
        <f t="shared" si="16"/>
        <v>36.788585586740147</v>
      </c>
    </row>
    <row r="33" spans="1:46" s="77" customFormat="1" ht="12.75" x14ac:dyDescent="0.2">
      <c r="A33" s="79"/>
      <c r="B33" s="76"/>
      <c r="C33" s="78"/>
      <c r="D33" s="73"/>
      <c r="E33" s="73"/>
      <c r="F33" s="82"/>
      <c r="G33" s="73"/>
      <c r="H33" s="82"/>
      <c r="K33" s="73"/>
      <c r="L33" s="157"/>
      <c r="M33" s="156"/>
      <c r="N33" s="156"/>
      <c r="O33" s="156"/>
      <c r="P33" s="156"/>
      <c r="Q33" s="156"/>
      <c r="R33" s="156"/>
      <c r="S33" s="156"/>
      <c r="T33" s="156"/>
      <c r="U33" s="157"/>
      <c r="V33" s="88"/>
      <c r="W33" s="88">
        <v>14</v>
      </c>
      <c r="X33" s="178">
        <f t="shared" si="17"/>
        <v>2.1666666666666665</v>
      </c>
      <c r="Y33" s="84">
        <f t="shared" si="0"/>
        <v>2.333333333333333</v>
      </c>
      <c r="Z33" s="84">
        <f t="shared" si="1"/>
        <v>2.25</v>
      </c>
      <c r="AA33" s="178">
        <f t="shared" si="2"/>
        <v>2.4500000000000002</v>
      </c>
      <c r="AB33" s="178">
        <f t="shared" si="3"/>
        <v>0</v>
      </c>
      <c r="AC33" s="178">
        <f t="shared" si="4"/>
        <v>0</v>
      </c>
      <c r="AD33" s="181">
        <f t="shared" si="5"/>
        <v>0.40833333333333333</v>
      </c>
      <c r="AE33" s="182">
        <f t="shared" si="6"/>
        <v>0</v>
      </c>
      <c r="AF33" s="162">
        <f t="shared" si="7"/>
        <v>23.149250288350636</v>
      </c>
      <c r="AG33" s="181">
        <f t="shared" si="8"/>
        <v>23.149250288350636</v>
      </c>
      <c r="AH33" s="180">
        <f t="shared" si="9"/>
        <v>0</v>
      </c>
      <c r="AI33" s="180">
        <f t="shared" si="9"/>
        <v>0.40833333333333344</v>
      </c>
      <c r="AJ33" s="180">
        <f t="shared" si="9"/>
        <v>0.40833333333333344</v>
      </c>
      <c r="AK33" s="183">
        <f t="shared" si="18"/>
        <v>0</v>
      </c>
      <c r="AL33" s="183">
        <f t="shared" si="10"/>
        <v>-0.44462962962962976</v>
      </c>
      <c r="AM33" s="186">
        <f t="shared" si="11"/>
        <v>-0.44462962962962976</v>
      </c>
      <c r="AN33" s="180">
        <f>SUM($AM$19:AM33)</f>
        <v>-5.1912345679012368</v>
      </c>
      <c r="AO33" s="181">
        <f t="shared" si="12"/>
        <v>23.14925028835064</v>
      </c>
      <c r="AP33" s="181">
        <f t="shared" si="13"/>
        <v>-25.206961425092921</v>
      </c>
      <c r="AQ33" s="188">
        <f t="shared" si="14"/>
        <v>138.89550173010386</v>
      </c>
      <c r="AR33" s="188">
        <f t="shared" si="14"/>
        <v>-151.24176855055754</v>
      </c>
      <c r="AS33" s="188">
        <f t="shared" si="15"/>
        <v>-34.723875432525965</v>
      </c>
      <c r="AT33" s="188">
        <f t="shared" si="16"/>
        <v>37.810442137639384</v>
      </c>
    </row>
    <row r="34" spans="1:46" s="77" customFormat="1" ht="12.75" x14ac:dyDescent="0.2">
      <c r="A34" s="73"/>
      <c r="B34" s="75" t="s">
        <v>226</v>
      </c>
      <c r="C34" s="73"/>
      <c r="D34" s="73"/>
      <c r="E34" s="73"/>
      <c r="F34" s="82"/>
      <c r="G34" s="73"/>
      <c r="H34" s="82"/>
      <c r="K34" s="73"/>
      <c r="L34" s="157"/>
      <c r="M34" s="156"/>
      <c r="N34" s="156"/>
      <c r="O34" s="156"/>
      <c r="P34" s="156"/>
      <c r="Q34" s="156"/>
      <c r="R34" s="156"/>
      <c r="S34" s="156"/>
      <c r="T34" s="156"/>
      <c r="U34" s="157"/>
      <c r="V34" s="88"/>
      <c r="W34" s="88">
        <v>15</v>
      </c>
      <c r="X34" s="178">
        <f t="shared" si="17"/>
        <v>2.333333333333333</v>
      </c>
      <c r="Y34" s="84">
        <f t="shared" si="0"/>
        <v>2.4999999999999996</v>
      </c>
      <c r="Z34" s="84">
        <f t="shared" si="1"/>
        <v>2.4166666666666661</v>
      </c>
      <c r="AA34" s="178">
        <f t="shared" si="2"/>
        <v>2.4833333333333334</v>
      </c>
      <c r="AB34" s="178">
        <f t="shared" si="3"/>
        <v>0</v>
      </c>
      <c r="AC34" s="178">
        <f t="shared" si="4"/>
        <v>0</v>
      </c>
      <c r="AD34" s="181">
        <f t="shared" si="5"/>
        <v>0.41388888888888886</v>
      </c>
      <c r="AE34" s="182">
        <f t="shared" si="6"/>
        <v>0</v>
      </c>
      <c r="AF34" s="162">
        <f t="shared" si="7"/>
        <v>23.464206074586695</v>
      </c>
      <c r="AG34" s="181">
        <f t="shared" si="8"/>
        <v>23.464206074586695</v>
      </c>
      <c r="AH34" s="180">
        <f t="shared" si="9"/>
        <v>0</v>
      </c>
      <c r="AI34" s="180">
        <f t="shared" si="9"/>
        <v>0.41388888888888892</v>
      </c>
      <c r="AJ34" s="180">
        <f t="shared" si="9"/>
        <v>0.41388888888888892</v>
      </c>
      <c r="AK34" s="183">
        <f t="shared" si="18"/>
        <v>0</v>
      </c>
      <c r="AL34" s="183">
        <f t="shared" si="10"/>
        <v>-0.45681069958847748</v>
      </c>
      <c r="AM34" s="186">
        <f t="shared" si="11"/>
        <v>-0.45681069958847748</v>
      </c>
      <c r="AN34" s="180">
        <f>SUM($AM$19:AM34)</f>
        <v>-5.6480452674897146</v>
      </c>
      <c r="AO34" s="181">
        <f t="shared" si="12"/>
        <v>23.464206074586698</v>
      </c>
      <c r="AP34" s="181">
        <f t="shared" si="13"/>
        <v>-25.897531148988289</v>
      </c>
      <c r="AQ34" s="188">
        <f t="shared" si="14"/>
        <v>140.78523644752019</v>
      </c>
      <c r="AR34" s="188">
        <f t="shared" si="14"/>
        <v>-155.38518689392976</v>
      </c>
      <c r="AS34" s="188">
        <f t="shared" si="15"/>
        <v>-35.196309111880048</v>
      </c>
      <c r="AT34" s="188">
        <f t="shared" si="16"/>
        <v>38.846296723482439</v>
      </c>
    </row>
    <row r="35" spans="1:46" s="77" customFormat="1" ht="12.75" x14ac:dyDescent="0.2">
      <c r="E35" s="73"/>
      <c r="F35" s="84"/>
      <c r="G35" s="73"/>
      <c r="H35" s="84"/>
      <c r="L35" s="157"/>
      <c r="M35" s="156"/>
      <c r="N35" s="156"/>
      <c r="O35" s="156"/>
      <c r="P35" s="156"/>
      <c r="Q35" s="156"/>
      <c r="R35" s="156"/>
      <c r="S35" s="156"/>
      <c r="T35" s="156"/>
      <c r="U35" s="157"/>
      <c r="V35" s="88"/>
      <c r="W35" s="88">
        <v>16</v>
      </c>
      <c r="X35" s="178">
        <f t="shared" si="17"/>
        <v>2.4999999999999996</v>
      </c>
      <c r="Y35" s="84">
        <f t="shared" si="0"/>
        <v>2.6666666666666661</v>
      </c>
      <c r="Z35" s="84">
        <f t="shared" si="1"/>
        <v>2.583333333333333</v>
      </c>
      <c r="AA35" s="178">
        <f t="shared" si="2"/>
        <v>2.5166666666666666</v>
      </c>
      <c r="AB35" s="178">
        <f t="shared" si="3"/>
        <v>0</v>
      </c>
      <c r="AC35" s="178">
        <f t="shared" si="4"/>
        <v>0</v>
      </c>
      <c r="AD35" s="181">
        <f t="shared" si="5"/>
        <v>0.4194444444444444</v>
      </c>
      <c r="AE35" s="182">
        <f t="shared" si="6"/>
        <v>0</v>
      </c>
      <c r="AF35" s="162">
        <f t="shared" si="7"/>
        <v>23.779161860822757</v>
      </c>
      <c r="AG35" s="181">
        <f t="shared" si="8"/>
        <v>23.779161860822757</v>
      </c>
      <c r="AH35" s="180">
        <f t="shared" si="9"/>
        <v>0</v>
      </c>
      <c r="AI35" s="180">
        <f t="shared" si="9"/>
        <v>0.41944444444444445</v>
      </c>
      <c r="AJ35" s="180">
        <f t="shared" si="9"/>
        <v>0.41944444444444445</v>
      </c>
      <c r="AK35" s="183">
        <f t="shared" si="18"/>
        <v>0</v>
      </c>
      <c r="AL35" s="183">
        <f t="shared" si="10"/>
        <v>-0.46915637860082304</v>
      </c>
      <c r="AM35" s="186">
        <f t="shared" si="11"/>
        <v>-0.46915637860082304</v>
      </c>
      <c r="AN35" s="180">
        <f>SUM($AM$19:AM35)</f>
        <v>-6.1172016460905372</v>
      </c>
      <c r="AO35" s="181">
        <f t="shared" si="12"/>
        <v>23.779161860822761</v>
      </c>
      <c r="AP35" s="181">
        <f t="shared" si="13"/>
        <v>-26.597432896179534</v>
      </c>
      <c r="AQ35" s="188">
        <f t="shared" si="14"/>
        <v>142.67497116493658</v>
      </c>
      <c r="AR35" s="188">
        <f t="shared" si="14"/>
        <v>-159.58459737707722</v>
      </c>
      <c r="AS35" s="188">
        <f t="shared" si="15"/>
        <v>-35.668742791234145</v>
      </c>
      <c r="AT35" s="188">
        <f t="shared" si="16"/>
        <v>39.896149344269304</v>
      </c>
    </row>
    <row r="36" spans="1:46" s="77" customFormat="1" ht="12.75" x14ac:dyDescent="0.2">
      <c r="E36" s="73"/>
      <c r="F36" s="84"/>
      <c r="G36" s="73"/>
      <c r="H36" s="84"/>
      <c r="K36" s="79"/>
      <c r="L36" s="157"/>
      <c r="M36" s="156"/>
      <c r="N36" s="156"/>
      <c r="O36" s="156"/>
      <c r="P36" s="156"/>
      <c r="Q36" s="156"/>
      <c r="R36" s="156"/>
      <c r="S36" s="156"/>
      <c r="T36" s="156"/>
      <c r="U36" s="157"/>
      <c r="V36" s="88"/>
      <c r="W36" s="88">
        <v>17</v>
      </c>
      <c r="X36" s="178">
        <f t="shared" si="17"/>
        <v>2.6666666666666661</v>
      </c>
      <c r="Y36" s="84">
        <f t="shared" si="0"/>
        <v>2.8333333333333326</v>
      </c>
      <c r="Z36" s="84">
        <f t="shared" si="1"/>
        <v>2.7499999999999991</v>
      </c>
      <c r="AA36" s="178">
        <f t="shared" si="2"/>
        <v>2.5499999999999998</v>
      </c>
      <c r="AB36" s="178">
        <f t="shared" si="3"/>
        <v>0</v>
      </c>
      <c r="AC36" s="178">
        <f t="shared" si="4"/>
        <v>0</v>
      </c>
      <c r="AD36" s="181">
        <f t="shared" si="5"/>
        <v>0.42499999999999993</v>
      </c>
      <c r="AE36" s="182">
        <f t="shared" si="6"/>
        <v>0</v>
      </c>
      <c r="AF36" s="162">
        <f t="shared" si="7"/>
        <v>24.09411764705882</v>
      </c>
      <c r="AG36" s="181">
        <f t="shared" si="8"/>
        <v>24.09411764705882</v>
      </c>
      <c r="AH36" s="180">
        <f t="shared" si="9"/>
        <v>0</v>
      </c>
      <c r="AI36" s="180">
        <f t="shared" si="9"/>
        <v>0.42499999999999999</v>
      </c>
      <c r="AJ36" s="180">
        <f t="shared" si="9"/>
        <v>0.42499999999999999</v>
      </c>
      <c r="AK36" s="183">
        <f t="shared" si="18"/>
        <v>0</v>
      </c>
      <c r="AL36" s="183">
        <f t="shared" si="10"/>
        <v>-0.48166666666666663</v>
      </c>
      <c r="AM36" s="186">
        <f t="shared" si="11"/>
        <v>-0.48166666666666663</v>
      </c>
      <c r="AN36" s="180">
        <f>SUM($AM$19:AM36)</f>
        <v>-6.5988683127572036</v>
      </c>
      <c r="AO36" s="181">
        <f t="shared" si="12"/>
        <v>24.094117647058823</v>
      </c>
      <c r="AP36" s="181">
        <f t="shared" si="13"/>
        <v>-27.306666666666665</v>
      </c>
      <c r="AQ36" s="188">
        <f t="shared" si="14"/>
        <v>144.56470588235294</v>
      </c>
      <c r="AR36" s="188">
        <f t="shared" si="14"/>
        <v>-163.84</v>
      </c>
      <c r="AS36" s="188">
        <f t="shared" si="15"/>
        <v>-36.141176470588235</v>
      </c>
      <c r="AT36" s="188">
        <f t="shared" si="16"/>
        <v>40.96</v>
      </c>
    </row>
    <row r="37" spans="1:46" s="77" customFormat="1" ht="12.75" x14ac:dyDescent="0.2">
      <c r="A37" s="73"/>
      <c r="E37" s="80"/>
      <c r="I37" s="73"/>
      <c r="J37" s="73"/>
      <c r="K37" s="73"/>
      <c r="L37" s="157"/>
      <c r="M37" s="156"/>
      <c r="N37" s="156"/>
      <c r="O37" s="156"/>
      <c r="P37" s="156"/>
      <c r="Q37" s="156"/>
      <c r="R37" s="156"/>
      <c r="S37" s="156"/>
      <c r="T37" s="156"/>
      <c r="U37" s="157"/>
      <c r="V37" s="88"/>
      <c r="W37" s="88">
        <v>18</v>
      </c>
      <c r="X37" s="178">
        <f t="shared" si="17"/>
        <v>2.8333333333333326</v>
      </c>
      <c r="Y37" s="84">
        <f t="shared" si="0"/>
        <v>2.9999999999999991</v>
      </c>
      <c r="Z37" s="84">
        <f t="shared" si="1"/>
        <v>2.9166666666666661</v>
      </c>
      <c r="AA37" s="178">
        <f t="shared" si="2"/>
        <v>2.583333333333333</v>
      </c>
      <c r="AB37" s="178">
        <f t="shared" si="3"/>
        <v>0</v>
      </c>
      <c r="AC37" s="178">
        <f t="shared" si="4"/>
        <v>0</v>
      </c>
      <c r="AD37" s="181">
        <f t="shared" si="5"/>
        <v>0.43055555555555547</v>
      </c>
      <c r="AE37" s="182">
        <f t="shared" si="6"/>
        <v>0</v>
      </c>
      <c r="AF37" s="162">
        <f t="shared" si="7"/>
        <v>24.409073433294882</v>
      </c>
      <c r="AG37" s="181">
        <f t="shared" si="8"/>
        <v>24.409073433294882</v>
      </c>
      <c r="AH37" s="180">
        <f t="shared" si="9"/>
        <v>0</v>
      </c>
      <c r="AI37" s="180">
        <f t="shared" si="9"/>
        <v>0.43055555555555558</v>
      </c>
      <c r="AJ37" s="180">
        <f t="shared" si="9"/>
        <v>0.43055555555555558</v>
      </c>
      <c r="AK37" s="183">
        <f t="shared" si="18"/>
        <v>0</v>
      </c>
      <c r="AL37" s="183">
        <f t="shared" si="10"/>
        <v>-0.49434156378600819</v>
      </c>
      <c r="AM37" s="186">
        <f t="shared" si="11"/>
        <v>-0.49434156378600819</v>
      </c>
      <c r="AN37" s="180">
        <f>SUM($AM$19:AM37)</f>
        <v>-7.0932098765432121</v>
      </c>
      <c r="AO37" s="181">
        <f t="shared" si="12"/>
        <v>24.409073433294889</v>
      </c>
      <c r="AP37" s="181">
        <f t="shared" si="13"/>
        <v>-28.025232460449683</v>
      </c>
      <c r="AQ37" s="188">
        <f t="shared" si="14"/>
        <v>146.45444059976936</v>
      </c>
      <c r="AR37" s="188">
        <f t="shared" si="14"/>
        <v>-168.15139476269812</v>
      </c>
      <c r="AS37" s="188">
        <f t="shared" si="15"/>
        <v>-36.613610149942339</v>
      </c>
      <c r="AT37" s="188">
        <f t="shared" si="16"/>
        <v>42.037848690674529</v>
      </c>
    </row>
    <row r="38" spans="1:46" s="77" customFormat="1" ht="12.75" x14ac:dyDescent="0.2">
      <c r="A38" s="83" t="s">
        <v>135</v>
      </c>
      <c r="B38" s="76"/>
      <c r="D38" s="73"/>
      <c r="E38" s="76"/>
      <c r="F38" s="111"/>
      <c r="G38" s="110"/>
      <c r="I38" s="73"/>
      <c r="J38" s="73"/>
      <c r="K38" s="83" t="s">
        <v>132</v>
      </c>
      <c r="L38" s="157"/>
      <c r="M38" s="156"/>
      <c r="N38" s="156"/>
      <c r="O38" s="156"/>
      <c r="P38" s="156"/>
      <c r="Q38" s="156"/>
      <c r="R38" s="156"/>
      <c r="S38" s="156"/>
      <c r="T38" s="156"/>
      <c r="U38" s="157"/>
      <c r="V38" s="88"/>
      <c r="W38" s="88">
        <v>19</v>
      </c>
      <c r="X38" s="178">
        <f t="shared" si="17"/>
        <v>2.9999999999999991</v>
      </c>
      <c r="Y38" s="84">
        <f t="shared" si="0"/>
        <v>3.1666666666666656</v>
      </c>
      <c r="Z38" s="84">
        <f t="shared" si="1"/>
        <v>3.0833333333333321</v>
      </c>
      <c r="AA38" s="178">
        <f t="shared" si="2"/>
        <v>2.6166666666666663</v>
      </c>
      <c r="AB38" s="178">
        <f t="shared" si="3"/>
        <v>0</v>
      </c>
      <c r="AC38" s="178">
        <f t="shared" si="4"/>
        <v>0</v>
      </c>
      <c r="AD38" s="181">
        <f t="shared" si="5"/>
        <v>0.43611111111111101</v>
      </c>
      <c r="AE38" s="182">
        <f t="shared" si="6"/>
        <v>0</v>
      </c>
      <c r="AF38" s="162">
        <f t="shared" si="7"/>
        <v>24.724029219530944</v>
      </c>
      <c r="AG38" s="181">
        <f t="shared" si="8"/>
        <v>24.724029219530944</v>
      </c>
      <c r="AH38" s="180">
        <f t="shared" si="9"/>
        <v>0</v>
      </c>
      <c r="AI38" s="180">
        <f t="shared" si="9"/>
        <v>0.43611111111111112</v>
      </c>
      <c r="AJ38" s="180">
        <f t="shared" si="9"/>
        <v>0.43611111111111112</v>
      </c>
      <c r="AK38" s="183">
        <f t="shared" si="18"/>
        <v>0</v>
      </c>
      <c r="AL38" s="183">
        <f t="shared" si="10"/>
        <v>-0.5071810699588476</v>
      </c>
      <c r="AM38" s="186">
        <f t="shared" si="11"/>
        <v>-0.5071810699588476</v>
      </c>
      <c r="AN38" s="180">
        <f>SUM($AM$19:AM38)</f>
        <v>-7.6003909465020598</v>
      </c>
      <c r="AO38" s="181">
        <f t="shared" si="12"/>
        <v>24.724029219530951</v>
      </c>
      <c r="AP38" s="181">
        <f t="shared" si="13"/>
        <v>-28.75313027752858</v>
      </c>
      <c r="AQ38" s="188">
        <f t="shared" si="14"/>
        <v>148.34417531718572</v>
      </c>
      <c r="AR38" s="188">
        <f t="shared" si="14"/>
        <v>-172.5187816651715</v>
      </c>
      <c r="AS38" s="188">
        <f t="shared" si="15"/>
        <v>-37.086043829296429</v>
      </c>
      <c r="AT38" s="188">
        <f t="shared" si="16"/>
        <v>43.129695416292876</v>
      </c>
    </row>
    <row r="39" spans="1:46" s="77" customFormat="1" ht="12.75" x14ac:dyDescent="0.2">
      <c r="A39" s="83" t="s">
        <v>133</v>
      </c>
      <c r="B39" s="80"/>
      <c r="C39" s="95"/>
      <c r="D39" s="110"/>
      <c r="E39" s="80"/>
      <c r="F39" s="104"/>
      <c r="G39" s="73"/>
      <c r="I39" s="73"/>
      <c r="J39" s="73"/>
      <c r="K39" s="83" t="s">
        <v>133</v>
      </c>
      <c r="L39" s="157"/>
      <c r="M39" s="156"/>
      <c r="N39" s="156"/>
      <c r="O39" s="156"/>
      <c r="P39" s="156"/>
      <c r="Q39" s="156"/>
      <c r="R39" s="156"/>
      <c r="S39" s="156"/>
      <c r="T39" s="156"/>
      <c r="U39" s="157"/>
      <c r="V39" s="88"/>
      <c r="W39" s="88">
        <v>20</v>
      </c>
      <c r="X39" s="178">
        <f t="shared" si="17"/>
        <v>3.1666666666666656</v>
      </c>
      <c r="Y39" s="84">
        <f t="shared" si="0"/>
        <v>3.3333333333333321</v>
      </c>
      <c r="Z39" s="84">
        <f t="shared" si="1"/>
        <v>3.2499999999999991</v>
      </c>
      <c r="AA39" s="178">
        <f t="shared" si="2"/>
        <v>2.65</v>
      </c>
      <c r="AB39" s="178">
        <f t="shared" si="3"/>
        <v>0</v>
      </c>
      <c r="AC39" s="178">
        <f t="shared" si="4"/>
        <v>0</v>
      </c>
      <c r="AD39" s="181">
        <f t="shared" si="5"/>
        <v>0.44166666666666665</v>
      </c>
      <c r="AE39" s="182">
        <f t="shared" si="6"/>
        <v>0</v>
      </c>
      <c r="AF39" s="162">
        <f t="shared" si="7"/>
        <v>25.038985005767014</v>
      </c>
      <c r="AG39" s="181">
        <f t="shared" si="8"/>
        <v>25.038985005767014</v>
      </c>
      <c r="AH39" s="180">
        <f t="shared" si="9"/>
        <v>0</v>
      </c>
      <c r="AI39" s="180">
        <f t="shared" si="9"/>
        <v>0.44166666666666676</v>
      </c>
      <c r="AJ39" s="180">
        <f t="shared" si="9"/>
        <v>0.44166666666666676</v>
      </c>
      <c r="AK39" s="183">
        <f t="shared" si="18"/>
        <v>0</v>
      </c>
      <c r="AL39" s="183">
        <f t="shared" si="10"/>
        <v>-0.52018518518518531</v>
      </c>
      <c r="AM39" s="186">
        <f t="shared" si="11"/>
        <v>-0.52018518518518531</v>
      </c>
      <c r="AN39" s="180">
        <f>SUM($AM$19:AM39)</f>
        <v>-8.1205761316872458</v>
      </c>
      <c r="AO39" s="181">
        <f t="shared" si="12"/>
        <v>25.038985005767017</v>
      </c>
      <c r="AP39" s="181">
        <f t="shared" si="13"/>
        <v>-29.490360117903379</v>
      </c>
      <c r="AQ39" s="188">
        <f t="shared" si="14"/>
        <v>150.2339100346021</v>
      </c>
      <c r="AR39" s="188">
        <f t="shared" si="14"/>
        <v>-176.94216070742027</v>
      </c>
      <c r="AS39" s="188">
        <f t="shared" si="15"/>
        <v>-37.558477508650526</v>
      </c>
      <c r="AT39" s="188">
        <f t="shared" si="16"/>
        <v>44.235540176855068</v>
      </c>
    </row>
    <row r="40" spans="1:46" s="77" customFormat="1" ht="12.75" x14ac:dyDescent="0.2">
      <c r="A40" s="171" t="s">
        <v>134</v>
      </c>
      <c r="F40" s="104"/>
      <c r="G40" s="73"/>
      <c r="I40" s="73"/>
      <c r="J40" s="73"/>
      <c r="K40" s="171" t="s">
        <v>134</v>
      </c>
      <c r="L40" s="157"/>
      <c r="M40" s="156"/>
      <c r="N40" s="156"/>
      <c r="O40" s="156"/>
      <c r="P40" s="156"/>
      <c r="Q40" s="156"/>
      <c r="R40" s="156"/>
      <c r="S40" s="156"/>
      <c r="T40" s="156"/>
      <c r="U40" s="157"/>
      <c r="V40" s="88"/>
      <c r="W40" s="88">
        <v>21</v>
      </c>
      <c r="X40" s="178">
        <f t="shared" si="17"/>
        <v>3.3333333333333321</v>
      </c>
      <c r="Y40" s="84">
        <f t="shared" si="0"/>
        <v>3.4999999999999987</v>
      </c>
      <c r="Z40" s="84">
        <f t="shared" si="1"/>
        <v>3.4166666666666652</v>
      </c>
      <c r="AA40" s="178">
        <f t="shared" si="2"/>
        <v>2.6833333333333331</v>
      </c>
      <c r="AB40" s="178">
        <f t="shared" si="3"/>
        <v>0</v>
      </c>
      <c r="AC40" s="178">
        <f t="shared" si="4"/>
        <v>0</v>
      </c>
      <c r="AD40" s="181">
        <f t="shared" si="5"/>
        <v>0.44722222222222219</v>
      </c>
      <c r="AE40" s="182">
        <f t="shared" si="6"/>
        <v>0</v>
      </c>
      <c r="AF40" s="162">
        <f t="shared" si="7"/>
        <v>25.353940792003076</v>
      </c>
      <c r="AG40" s="181">
        <f t="shared" si="8"/>
        <v>25.353940792003076</v>
      </c>
      <c r="AH40" s="180">
        <f t="shared" si="9"/>
        <v>0</v>
      </c>
      <c r="AI40" s="180">
        <f t="shared" si="9"/>
        <v>0.4472222222222223</v>
      </c>
      <c r="AJ40" s="180">
        <f t="shared" si="9"/>
        <v>0.4472222222222223</v>
      </c>
      <c r="AK40" s="183">
        <f t="shared" si="18"/>
        <v>0</v>
      </c>
      <c r="AL40" s="183">
        <f t="shared" si="10"/>
        <v>-0.5333539094650207</v>
      </c>
      <c r="AM40" s="186">
        <f t="shared" si="11"/>
        <v>-0.5333539094650207</v>
      </c>
      <c r="AN40" s="180">
        <f>SUM($AM$19:AM40)</f>
        <v>-8.6539300411522664</v>
      </c>
      <c r="AO40" s="181">
        <f t="shared" si="12"/>
        <v>25.35394079200308</v>
      </c>
      <c r="AP40" s="181">
        <f t="shared" si="13"/>
        <v>-30.236921981574046</v>
      </c>
      <c r="AQ40" s="188">
        <f t="shared" si="14"/>
        <v>152.12364475201849</v>
      </c>
      <c r="AR40" s="188">
        <f t="shared" si="14"/>
        <v>-181.42153188944428</v>
      </c>
      <c r="AS40" s="188">
        <f t="shared" si="15"/>
        <v>-38.030911188004623</v>
      </c>
      <c r="AT40" s="188">
        <f t="shared" si="16"/>
        <v>45.35538297236107</v>
      </c>
    </row>
    <row r="41" spans="1:46" s="77" customFormat="1" ht="12.75" x14ac:dyDescent="0.2">
      <c r="A41" s="172">
        <v>2</v>
      </c>
      <c r="B41" s="76"/>
      <c r="D41" s="73"/>
      <c r="E41" s="76"/>
      <c r="F41" s="104"/>
      <c r="G41" s="110"/>
      <c r="I41" s="73"/>
      <c r="J41" s="87"/>
      <c r="K41" s="172">
        <v>3</v>
      </c>
      <c r="L41" s="157"/>
      <c r="M41" s="156"/>
      <c r="N41" s="156"/>
      <c r="O41" s="156"/>
      <c r="P41" s="156"/>
      <c r="Q41" s="156"/>
      <c r="R41" s="156"/>
      <c r="S41" s="156"/>
      <c r="T41" s="156"/>
      <c r="U41" s="157"/>
      <c r="V41" s="88"/>
      <c r="W41" s="88">
        <v>22</v>
      </c>
      <c r="X41" s="178">
        <f t="shared" si="17"/>
        <v>3.4999999999999987</v>
      </c>
      <c r="Y41" s="84">
        <f t="shared" si="0"/>
        <v>3.6666666666666652</v>
      </c>
      <c r="Z41" s="84">
        <f t="shared" si="1"/>
        <v>3.5833333333333321</v>
      </c>
      <c r="AA41" s="178">
        <f t="shared" si="2"/>
        <v>2.7166666666666663</v>
      </c>
      <c r="AB41" s="178">
        <f t="shared" si="3"/>
        <v>0</v>
      </c>
      <c r="AC41" s="178">
        <f t="shared" si="4"/>
        <v>0</v>
      </c>
      <c r="AD41" s="181">
        <f t="shared" si="5"/>
        <v>0.45277777777777772</v>
      </c>
      <c r="AE41" s="182">
        <f t="shared" si="6"/>
        <v>0</v>
      </c>
      <c r="AF41" s="162">
        <f t="shared" si="7"/>
        <v>25.668896578239135</v>
      </c>
      <c r="AG41" s="181">
        <f t="shared" si="8"/>
        <v>25.668896578239135</v>
      </c>
      <c r="AH41" s="180">
        <f t="shared" si="9"/>
        <v>0</v>
      </c>
      <c r="AI41" s="180">
        <f t="shared" si="9"/>
        <v>0.45277777777777778</v>
      </c>
      <c r="AJ41" s="180">
        <f t="shared" si="9"/>
        <v>0.45277777777777778</v>
      </c>
      <c r="AK41" s="183">
        <f t="shared" si="18"/>
        <v>0</v>
      </c>
      <c r="AL41" s="183">
        <f t="shared" si="10"/>
        <v>-0.5466872427983539</v>
      </c>
      <c r="AM41" s="186">
        <f t="shared" si="11"/>
        <v>-0.5466872427983539</v>
      </c>
      <c r="AN41" s="180">
        <f>SUM($AM$19:AM41)</f>
        <v>-9.2006172839506206</v>
      </c>
      <c r="AO41" s="181">
        <f t="shared" si="12"/>
        <v>25.668896578239139</v>
      </c>
      <c r="AP41" s="181">
        <f t="shared" si="13"/>
        <v>-30.992815868540589</v>
      </c>
      <c r="AQ41" s="188">
        <f t="shared" si="14"/>
        <v>154.01337946943485</v>
      </c>
      <c r="AR41" s="188">
        <f t="shared" si="14"/>
        <v>-185.95689521124353</v>
      </c>
      <c r="AS41" s="188">
        <f t="shared" si="15"/>
        <v>-38.503344867358713</v>
      </c>
      <c r="AT41" s="188">
        <f t="shared" si="16"/>
        <v>46.489223802810884</v>
      </c>
    </row>
    <row r="42" spans="1:46" s="77" customFormat="1" ht="12.75" x14ac:dyDescent="0.2">
      <c r="A42" s="171" t="s">
        <v>136</v>
      </c>
      <c r="B42" s="80"/>
      <c r="C42" s="95"/>
      <c r="D42" s="110"/>
      <c r="E42" s="109"/>
      <c r="F42" s="104" t="s">
        <v>135</v>
      </c>
      <c r="G42" s="73"/>
      <c r="I42" s="73"/>
      <c r="J42" s="73"/>
      <c r="K42" s="171" t="s">
        <v>136</v>
      </c>
      <c r="L42" s="157"/>
      <c r="M42" s="156"/>
      <c r="N42" s="156"/>
      <c r="O42" s="156"/>
      <c r="P42" s="156"/>
      <c r="Q42" s="156"/>
      <c r="R42" s="156"/>
      <c r="S42" s="156"/>
      <c r="T42" s="156"/>
      <c r="U42" s="157"/>
      <c r="V42" s="88"/>
      <c r="W42" s="88">
        <v>23</v>
      </c>
      <c r="X42" s="178">
        <f t="shared" si="17"/>
        <v>3.6666666666666652</v>
      </c>
      <c r="Y42" s="84">
        <f t="shared" si="0"/>
        <v>3.8333333333333317</v>
      </c>
      <c r="Z42" s="84">
        <f t="shared" si="1"/>
        <v>3.7499999999999982</v>
      </c>
      <c r="AA42" s="178">
        <f t="shared" si="2"/>
        <v>2.7499999999999996</v>
      </c>
      <c r="AB42" s="178">
        <f t="shared" si="3"/>
        <v>0</v>
      </c>
      <c r="AC42" s="178">
        <f t="shared" si="4"/>
        <v>0</v>
      </c>
      <c r="AD42" s="181">
        <f t="shared" si="5"/>
        <v>0.45833333333333326</v>
      </c>
      <c r="AE42" s="182">
        <f t="shared" si="6"/>
        <v>0</v>
      </c>
      <c r="AF42" s="162">
        <f t="shared" si="7"/>
        <v>25.983852364475197</v>
      </c>
      <c r="AG42" s="181">
        <f t="shared" si="8"/>
        <v>25.983852364475197</v>
      </c>
      <c r="AH42" s="180">
        <f t="shared" si="9"/>
        <v>0</v>
      </c>
      <c r="AI42" s="180">
        <f t="shared" si="9"/>
        <v>0.45833333333333337</v>
      </c>
      <c r="AJ42" s="180">
        <f t="shared" si="9"/>
        <v>0.45833333333333337</v>
      </c>
      <c r="AK42" s="183">
        <f t="shared" si="18"/>
        <v>0</v>
      </c>
      <c r="AL42" s="183">
        <f t="shared" si="10"/>
        <v>-0.56018518518518512</v>
      </c>
      <c r="AM42" s="186">
        <f t="shared" si="11"/>
        <v>-0.56018518518518512</v>
      </c>
      <c r="AN42" s="180">
        <f>SUM($AM$19:AM42)</f>
        <v>-9.7608024691358057</v>
      </c>
      <c r="AO42" s="181">
        <f t="shared" si="12"/>
        <v>25.983852364475204</v>
      </c>
      <c r="AP42" s="181">
        <f t="shared" si="13"/>
        <v>-31.758041778803022</v>
      </c>
      <c r="AQ42" s="188">
        <f t="shared" si="14"/>
        <v>155.90311418685124</v>
      </c>
      <c r="AR42" s="188">
        <f t="shared" si="14"/>
        <v>-190.54825067281814</v>
      </c>
      <c r="AS42" s="188">
        <f t="shared" si="15"/>
        <v>-38.97577854671281</v>
      </c>
      <c r="AT42" s="188">
        <f t="shared" si="16"/>
        <v>47.637062668204535</v>
      </c>
    </row>
    <row r="43" spans="1:46" s="77" customFormat="1" ht="12.75" x14ac:dyDescent="0.2">
      <c r="A43" s="73"/>
      <c r="F43" s="104"/>
      <c r="G43" s="73"/>
      <c r="I43" s="73"/>
      <c r="J43" s="83"/>
      <c r="K43" s="73"/>
      <c r="L43" s="157"/>
      <c r="M43" s="156"/>
      <c r="N43" s="156"/>
      <c r="O43" s="156"/>
      <c r="P43" s="156"/>
      <c r="Q43" s="156"/>
      <c r="R43" s="156"/>
      <c r="S43" s="156"/>
      <c r="T43" s="156"/>
      <c r="U43" s="157"/>
      <c r="V43" s="88"/>
      <c r="W43" s="88">
        <v>24</v>
      </c>
      <c r="X43" s="178">
        <f t="shared" si="17"/>
        <v>3.8333333333333317</v>
      </c>
      <c r="Y43" s="84">
        <f t="shared" si="0"/>
        <v>3.9999999999999982</v>
      </c>
      <c r="Z43" s="84">
        <f t="shared" si="1"/>
        <v>3.9166666666666652</v>
      </c>
      <c r="AA43" s="178">
        <f t="shared" si="2"/>
        <v>2.7833333333333332</v>
      </c>
      <c r="AB43" s="178">
        <f t="shared" si="3"/>
        <v>0</v>
      </c>
      <c r="AC43" s="178">
        <f t="shared" si="4"/>
        <v>0</v>
      </c>
      <c r="AD43" s="181">
        <f t="shared" si="5"/>
        <v>0.46388888888888885</v>
      </c>
      <c r="AE43" s="182">
        <f t="shared" si="6"/>
        <v>0</v>
      </c>
      <c r="AF43" s="162">
        <f t="shared" si="7"/>
        <v>26.298808150711263</v>
      </c>
      <c r="AG43" s="181">
        <f t="shared" si="8"/>
        <v>26.298808150711263</v>
      </c>
      <c r="AH43" s="180">
        <f t="shared" si="9"/>
        <v>0</v>
      </c>
      <c r="AI43" s="180">
        <f t="shared" si="9"/>
        <v>0.46388888888888896</v>
      </c>
      <c r="AJ43" s="180">
        <f t="shared" si="9"/>
        <v>0.46388888888888896</v>
      </c>
      <c r="AK43" s="183">
        <f t="shared" si="18"/>
        <v>0</v>
      </c>
      <c r="AL43" s="183">
        <f t="shared" si="10"/>
        <v>-0.57384773662551447</v>
      </c>
      <c r="AM43" s="186">
        <f t="shared" si="11"/>
        <v>-0.57384773662551447</v>
      </c>
      <c r="AN43" s="180">
        <f>SUM($AM$19:AM43)</f>
        <v>-10.334650205761321</v>
      </c>
      <c r="AO43" s="181">
        <f t="shared" si="12"/>
        <v>26.29880815071127</v>
      </c>
      <c r="AP43" s="181">
        <f t="shared" si="13"/>
        <v>-32.532599712361346</v>
      </c>
      <c r="AQ43" s="188">
        <f t="shared" si="14"/>
        <v>157.79284890426763</v>
      </c>
      <c r="AR43" s="188">
        <f t="shared" si="14"/>
        <v>-195.19559827416808</v>
      </c>
      <c r="AS43" s="188">
        <f t="shared" si="15"/>
        <v>-39.448212226066907</v>
      </c>
      <c r="AT43" s="188">
        <f t="shared" si="16"/>
        <v>48.798899568542019</v>
      </c>
    </row>
    <row r="44" spans="1:46" s="77" customFormat="1" ht="12.75" x14ac:dyDescent="0.2">
      <c r="A44" s="80"/>
      <c r="B44" s="76"/>
      <c r="D44" s="73"/>
      <c r="E44" s="76"/>
      <c r="F44" s="104"/>
      <c r="G44" s="110"/>
      <c r="I44" s="76"/>
      <c r="J44" s="113"/>
      <c r="K44" s="73"/>
      <c r="L44" s="157"/>
      <c r="M44" s="156"/>
      <c r="N44" s="156"/>
      <c r="O44" s="156"/>
      <c r="P44" s="156"/>
      <c r="Q44" s="156"/>
      <c r="R44" s="156"/>
      <c r="S44" s="156"/>
      <c r="T44" s="156"/>
      <c r="U44" s="157"/>
      <c r="V44" s="88"/>
      <c r="W44" s="88">
        <v>25</v>
      </c>
      <c r="X44" s="178">
        <f t="shared" si="17"/>
        <v>3.9999999999999982</v>
      </c>
      <c r="Y44" s="84">
        <f t="shared" si="0"/>
        <v>4.1666666666666652</v>
      </c>
      <c r="Z44" s="84">
        <f t="shared" si="1"/>
        <v>4.0833333333333321</v>
      </c>
      <c r="AA44" s="178">
        <f t="shared" si="2"/>
        <v>2.8166666666666664</v>
      </c>
      <c r="AB44" s="178">
        <f t="shared" si="3"/>
        <v>0</v>
      </c>
      <c r="AC44" s="178">
        <f t="shared" si="4"/>
        <v>0</v>
      </c>
      <c r="AD44" s="181">
        <f t="shared" si="5"/>
        <v>0.46944444444444439</v>
      </c>
      <c r="AE44" s="182">
        <f t="shared" si="6"/>
        <v>0</v>
      </c>
      <c r="AF44" s="162">
        <f t="shared" si="7"/>
        <v>26.613763936947326</v>
      </c>
      <c r="AG44" s="181">
        <f t="shared" si="8"/>
        <v>26.613763936947326</v>
      </c>
      <c r="AH44" s="180">
        <f t="shared" si="9"/>
        <v>0</v>
      </c>
      <c r="AI44" s="180">
        <f t="shared" si="9"/>
        <v>0.4694444444444445</v>
      </c>
      <c r="AJ44" s="180">
        <f t="shared" si="9"/>
        <v>0.4694444444444445</v>
      </c>
      <c r="AK44" s="183">
        <f t="shared" si="18"/>
        <v>0</v>
      </c>
      <c r="AL44" s="183">
        <f t="shared" si="10"/>
        <v>-0.58767489711934162</v>
      </c>
      <c r="AM44" s="186">
        <f t="shared" si="11"/>
        <v>-0.58767489711934162</v>
      </c>
      <c r="AN44" s="180">
        <f>SUM($AM$19:AM44)</f>
        <v>-10.922325102880663</v>
      </c>
      <c r="AO44" s="181">
        <f t="shared" si="12"/>
        <v>26.613763936947333</v>
      </c>
      <c r="AP44" s="181">
        <f t="shared" si="13"/>
        <v>-33.316489669215549</v>
      </c>
      <c r="AQ44" s="188">
        <f t="shared" si="14"/>
        <v>159.68258362168402</v>
      </c>
      <c r="AR44" s="188">
        <f t="shared" si="14"/>
        <v>-199.89893801529331</v>
      </c>
      <c r="AS44" s="188">
        <f t="shared" si="15"/>
        <v>-39.920645905421004</v>
      </c>
      <c r="AT44" s="188">
        <f t="shared" si="16"/>
        <v>49.974734503823328</v>
      </c>
    </row>
    <row r="45" spans="1:46" s="77" customFormat="1" ht="12.75" x14ac:dyDescent="0.2">
      <c r="A45" s="73"/>
      <c r="B45" s="80"/>
      <c r="C45" s="95"/>
      <c r="D45" s="110"/>
      <c r="E45" s="76"/>
      <c r="F45" s="111"/>
      <c r="I45" s="73"/>
      <c r="J45" s="73"/>
      <c r="K45" s="73"/>
      <c r="L45" s="157"/>
      <c r="M45" s="156"/>
      <c r="N45" s="156"/>
      <c r="O45" s="156"/>
      <c r="P45" s="156"/>
      <c r="Q45" s="156"/>
      <c r="R45" s="156"/>
      <c r="S45" s="156"/>
      <c r="T45" s="156"/>
      <c r="U45" s="157"/>
      <c r="V45" s="88"/>
      <c r="W45" s="88">
        <v>26</v>
      </c>
      <c r="X45" s="178">
        <f t="shared" si="17"/>
        <v>4.1666666666666652</v>
      </c>
      <c r="Y45" s="84">
        <f t="shared" si="0"/>
        <v>4.3333333333333321</v>
      </c>
      <c r="Z45" s="84">
        <f t="shared" si="1"/>
        <v>4.2499999999999982</v>
      </c>
      <c r="AA45" s="178">
        <f t="shared" si="2"/>
        <v>2.8499999999999996</v>
      </c>
      <c r="AB45" s="178">
        <f t="shared" si="3"/>
        <v>0</v>
      </c>
      <c r="AC45" s="178">
        <f t="shared" si="4"/>
        <v>0</v>
      </c>
      <c r="AD45" s="181">
        <f t="shared" si="5"/>
        <v>0.47499999999999992</v>
      </c>
      <c r="AE45" s="182">
        <f t="shared" si="6"/>
        <v>0</v>
      </c>
      <c r="AF45" s="162">
        <f t="shared" si="7"/>
        <v>26.928719723183388</v>
      </c>
      <c r="AG45" s="181">
        <f t="shared" si="8"/>
        <v>26.928719723183388</v>
      </c>
      <c r="AH45" s="180">
        <f t="shared" si="9"/>
        <v>0</v>
      </c>
      <c r="AI45" s="180">
        <f t="shared" si="9"/>
        <v>0.47500000000000003</v>
      </c>
      <c r="AJ45" s="180">
        <f t="shared" si="9"/>
        <v>0.47500000000000003</v>
      </c>
      <c r="AK45" s="183">
        <f t="shared" si="18"/>
        <v>0</v>
      </c>
      <c r="AL45" s="183">
        <f t="shared" si="10"/>
        <v>-0.60166666666666668</v>
      </c>
      <c r="AM45" s="186">
        <f t="shared" si="11"/>
        <v>-0.60166666666666668</v>
      </c>
      <c r="AN45" s="180">
        <f>SUM($AM$19:AM45)</f>
        <v>-11.52399176954733</v>
      </c>
      <c r="AO45" s="181">
        <f t="shared" si="12"/>
        <v>26.928719723183395</v>
      </c>
      <c r="AP45" s="181">
        <f t="shared" si="13"/>
        <v>-34.109711649365629</v>
      </c>
      <c r="AQ45" s="188">
        <f t="shared" si="14"/>
        <v>161.57231833910038</v>
      </c>
      <c r="AR45" s="188">
        <f t="shared" si="14"/>
        <v>-204.65826989619379</v>
      </c>
      <c r="AS45" s="188">
        <f t="shared" si="15"/>
        <v>-40.393079584775094</v>
      </c>
      <c r="AT45" s="188">
        <f t="shared" si="16"/>
        <v>51.164567474048447</v>
      </c>
    </row>
    <row r="46" spans="1:46" s="77" customFormat="1" ht="12.75" x14ac:dyDescent="0.2">
      <c r="A46" s="73"/>
      <c r="I46" s="73"/>
      <c r="J46" s="73"/>
      <c r="K46" s="73"/>
      <c r="L46" s="157"/>
      <c r="M46" s="156"/>
      <c r="N46" s="156"/>
      <c r="O46" s="156"/>
      <c r="P46" s="156"/>
      <c r="Q46" s="156"/>
      <c r="R46" s="156"/>
      <c r="S46" s="156"/>
      <c r="T46" s="156"/>
      <c r="U46" s="157"/>
      <c r="V46" s="88"/>
      <c r="W46" s="88">
        <v>27</v>
      </c>
      <c r="X46" s="178">
        <f t="shared" si="17"/>
        <v>4.3333333333333321</v>
      </c>
      <c r="Y46" s="84">
        <f t="shared" si="0"/>
        <v>4.4999999999999991</v>
      </c>
      <c r="Z46" s="84">
        <f t="shared" si="1"/>
        <v>4.4166666666666661</v>
      </c>
      <c r="AA46" s="178">
        <f t="shared" si="2"/>
        <v>2.8833333333333333</v>
      </c>
      <c r="AB46" s="178">
        <f t="shared" si="3"/>
        <v>0</v>
      </c>
      <c r="AC46" s="178">
        <f t="shared" si="4"/>
        <v>0</v>
      </c>
      <c r="AD46" s="181">
        <f t="shared" si="5"/>
        <v>0.48055555555555551</v>
      </c>
      <c r="AE46" s="182">
        <f t="shared" si="6"/>
        <v>0</v>
      </c>
      <c r="AF46" s="162">
        <f t="shared" si="7"/>
        <v>27.243675509419454</v>
      </c>
      <c r="AG46" s="181">
        <f t="shared" si="8"/>
        <v>27.243675509419454</v>
      </c>
      <c r="AH46" s="180">
        <f t="shared" si="9"/>
        <v>0</v>
      </c>
      <c r="AI46" s="180">
        <f t="shared" si="9"/>
        <v>0.48055555555555562</v>
      </c>
      <c r="AJ46" s="180">
        <f t="shared" si="9"/>
        <v>0.48055555555555562</v>
      </c>
      <c r="AK46" s="183">
        <f t="shared" si="18"/>
        <v>0</v>
      </c>
      <c r="AL46" s="183">
        <f t="shared" si="10"/>
        <v>-0.61582304526748977</v>
      </c>
      <c r="AM46" s="186">
        <f t="shared" si="11"/>
        <v>-0.61582304526748977</v>
      </c>
      <c r="AN46" s="180">
        <f>SUM($AM$19:AM46)</f>
        <v>-12.139814814814819</v>
      </c>
      <c r="AO46" s="181">
        <f t="shared" si="12"/>
        <v>27.243675509419457</v>
      </c>
      <c r="AP46" s="181">
        <f t="shared" si="13"/>
        <v>-34.912265652811598</v>
      </c>
      <c r="AQ46" s="188">
        <f t="shared" si="14"/>
        <v>163.46205305651677</v>
      </c>
      <c r="AR46" s="188">
        <f t="shared" si="14"/>
        <v>-209.47359391686959</v>
      </c>
      <c r="AS46" s="188">
        <f t="shared" si="15"/>
        <v>-40.865513264129191</v>
      </c>
      <c r="AT46" s="188">
        <f t="shared" si="16"/>
        <v>52.368398479217397</v>
      </c>
    </row>
    <row r="47" spans="1:46" s="77" customFormat="1" ht="12.75" x14ac:dyDescent="0.2">
      <c r="A47" s="80"/>
      <c r="B47" s="92"/>
      <c r="D47" s="88"/>
      <c r="E47" s="80" t="s">
        <v>222</v>
      </c>
      <c r="F47" s="174">
        <v>5</v>
      </c>
      <c r="G47" s="73" t="s">
        <v>136</v>
      </c>
      <c r="I47" s="73"/>
      <c r="J47" s="73"/>
      <c r="K47" s="73"/>
      <c r="L47" s="157"/>
      <c r="M47" s="156"/>
      <c r="N47" s="156"/>
      <c r="O47" s="156"/>
      <c r="P47" s="156"/>
      <c r="Q47" s="156"/>
      <c r="R47" s="156"/>
      <c r="S47" s="156"/>
      <c r="T47" s="156"/>
      <c r="U47" s="157"/>
      <c r="V47" s="88"/>
      <c r="W47" s="88">
        <v>28</v>
      </c>
      <c r="X47" s="178">
        <f t="shared" si="17"/>
        <v>4.4999999999999991</v>
      </c>
      <c r="Y47" s="84">
        <f t="shared" si="0"/>
        <v>4.6666666666666661</v>
      </c>
      <c r="Z47" s="84">
        <f t="shared" si="1"/>
        <v>4.5833333333333321</v>
      </c>
      <c r="AA47" s="178">
        <f t="shared" si="2"/>
        <v>2.9166666666666665</v>
      </c>
      <c r="AB47" s="178">
        <f t="shared" si="3"/>
        <v>0</v>
      </c>
      <c r="AC47" s="178">
        <f t="shared" si="4"/>
        <v>0</v>
      </c>
      <c r="AD47" s="181">
        <f t="shared" si="5"/>
        <v>0.48611111111111105</v>
      </c>
      <c r="AE47" s="182">
        <f t="shared" si="6"/>
        <v>0</v>
      </c>
      <c r="AF47" s="162">
        <f t="shared" si="7"/>
        <v>27.558631295655516</v>
      </c>
      <c r="AG47" s="181">
        <f t="shared" si="8"/>
        <v>27.558631295655516</v>
      </c>
      <c r="AH47" s="180">
        <f t="shared" si="9"/>
        <v>0</v>
      </c>
      <c r="AI47" s="180">
        <f t="shared" si="9"/>
        <v>0.48611111111111122</v>
      </c>
      <c r="AJ47" s="180">
        <f t="shared" si="9"/>
        <v>0.48611111111111122</v>
      </c>
      <c r="AK47" s="183">
        <f t="shared" si="18"/>
        <v>0</v>
      </c>
      <c r="AL47" s="183">
        <f t="shared" si="10"/>
        <v>-0.63014403292181076</v>
      </c>
      <c r="AM47" s="186">
        <f t="shared" si="11"/>
        <v>-0.63014403292181076</v>
      </c>
      <c r="AN47" s="180">
        <f>SUM($AM$19:AM47)</f>
        <v>-12.76995884773663</v>
      </c>
      <c r="AO47" s="181">
        <f t="shared" si="12"/>
        <v>27.558631295655523</v>
      </c>
      <c r="AP47" s="181">
        <f t="shared" si="13"/>
        <v>-35.724151679553451</v>
      </c>
      <c r="AQ47" s="188">
        <f t="shared" si="14"/>
        <v>165.35178777393315</v>
      </c>
      <c r="AR47" s="188">
        <f t="shared" si="14"/>
        <v>-214.34491007732072</v>
      </c>
      <c r="AS47" s="188">
        <f t="shared" si="15"/>
        <v>-41.337946943483288</v>
      </c>
      <c r="AT47" s="188">
        <f t="shared" si="16"/>
        <v>53.58622751933018</v>
      </c>
    </row>
    <row r="48" spans="1:46" s="77" customFormat="1" ht="12.75" x14ac:dyDescent="0.2">
      <c r="A48" s="73"/>
      <c r="B48" s="80"/>
      <c r="C48" s="95"/>
      <c r="D48" s="110"/>
      <c r="E48" s="76"/>
      <c r="F48" s="96"/>
      <c r="I48" s="97"/>
      <c r="J48" s="73"/>
      <c r="K48" s="73"/>
      <c r="L48" s="157"/>
      <c r="M48" s="156"/>
      <c r="N48" s="156"/>
      <c r="O48" s="156"/>
      <c r="P48" s="156"/>
      <c r="Q48" s="156"/>
      <c r="R48" s="156"/>
      <c r="S48" s="156"/>
      <c r="T48" s="156"/>
      <c r="U48" s="157"/>
      <c r="V48" s="88"/>
      <c r="W48" s="88">
        <v>29</v>
      </c>
      <c r="X48" s="178">
        <f t="shared" si="17"/>
        <v>4.6666666666666661</v>
      </c>
      <c r="Y48" s="84">
        <f t="shared" si="0"/>
        <v>4.833333333333333</v>
      </c>
      <c r="Z48" s="84">
        <f t="shared" si="1"/>
        <v>4.75</v>
      </c>
      <c r="AA48" s="178">
        <f t="shared" si="2"/>
        <v>2.95</v>
      </c>
      <c r="AB48" s="178">
        <f t="shared" si="3"/>
        <v>0</v>
      </c>
      <c r="AC48" s="178">
        <f t="shared" si="4"/>
        <v>0</v>
      </c>
      <c r="AD48" s="181">
        <f t="shared" si="5"/>
        <v>0.4916666666666667</v>
      </c>
      <c r="AE48" s="182">
        <f t="shared" si="6"/>
        <v>0</v>
      </c>
      <c r="AF48" s="162">
        <f t="shared" si="7"/>
        <v>27.873587081891582</v>
      </c>
      <c r="AG48" s="181">
        <f t="shared" si="8"/>
        <v>27.873587081891582</v>
      </c>
      <c r="AH48" s="180">
        <f t="shared" si="9"/>
        <v>0</v>
      </c>
      <c r="AI48" s="180">
        <f t="shared" si="9"/>
        <v>0.49166666666666681</v>
      </c>
      <c r="AJ48" s="180">
        <f t="shared" si="9"/>
        <v>0.49166666666666681</v>
      </c>
      <c r="AK48" s="183">
        <f t="shared" si="18"/>
        <v>0</v>
      </c>
      <c r="AL48" s="183">
        <f t="shared" si="10"/>
        <v>-0.64462962962962989</v>
      </c>
      <c r="AM48" s="186">
        <f t="shared" si="11"/>
        <v>-0.64462962962962989</v>
      </c>
      <c r="AN48" s="180">
        <f>SUM($AM$19:AM48)</f>
        <v>-13.41458847736626</v>
      </c>
      <c r="AO48" s="181">
        <f t="shared" si="12"/>
        <v>27.873587081891589</v>
      </c>
      <c r="AP48" s="181">
        <f t="shared" si="13"/>
        <v>-36.545369729591201</v>
      </c>
      <c r="AQ48" s="188">
        <f t="shared" si="14"/>
        <v>167.24152249134954</v>
      </c>
      <c r="AR48" s="188">
        <f t="shared" si="14"/>
        <v>-219.2722183775472</v>
      </c>
      <c r="AS48" s="188">
        <f t="shared" si="15"/>
        <v>-41.810380622837386</v>
      </c>
      <c r="AT48" s="188">
        <f t="shared" si="16"/>
        <v>54.818054594386801</v>
      </c>
    </row>
    <row r="49" spans="1:46" s="77" customFormat="1" ht="12.75" x14ac:dyDescent="0.2">
      <c r="A49" s="73"/>
      <c r="C49" s="109" t="s">
        <v>223</v>
      </c>
      <c r="D49" s="77" t="str">
        <f>[1]!xln(D50)</f>
        <v>5 × (3 + 2) / 2</v>
      </c>
      <c r="E49" s="73"/>
      <c r="F49" s="73"/>
      <c r="G49" s="73"/>
      <c r="H49" s="73"/>
      <c r="I49" s="73"/>
      <c r="J49" s="73"/>
      <c r="K49" s="73"/>
      <c r="L49" s="157"/>
      <c r="M49" s="156"/>
      <c r="N49" s="156"/>
      <c r="O49" s="156"/>
      <c r="P49" s="156"/>
      <c r="Q49" s="156"/>
      <c r="R49" s="156"/>
      <c r="S49" s="156"/>
      <c r="T49" s="156"/>
      <c r="U49" s="157"/>
      <c r="V49" s="88"/>
      <c r="W49" s="88">
        <v>30</v>
      </c>
      <c r="X49" s="178">
        <f t="shared" si="17"/>
        <v>4.833333333333333</v>
      </c>
      <c r="Y49" s="84">
        <f t="shared" si="0"/>
        <v>5</v>
      </c>
      <c r="Z49" s="84">
        <f t="shared" si="1"/>
        <v>4.9166666666666661</v>
      </c>
      <c r="AA49" s="178">
        <f t="shared" si="2"/>
        <v>2.9833333333333334</v>
      </c>
      <c r="AB49" s="178">
        <f t="shared" si="3"/>
        <v>0</v>
      </c>
      <c r="AC49" s="178">
        <f t="shared" si="4"/>
        <v>0</v>
      </c>
      <c r="AD49" s="181">
        <f t="shared" si="5"/>
        <v>0.49722222222222223</v>
      </c>
      <c r="AE49" s="182">
        <f t="shared" si="6"/>
        <v>0</v>
      </c>
      <c r="AF49" s="162">
        <f t="shared" si="7"/>
        <v>28.188542868127644</v>
      </c>
      <c r="AG49" s="181">
        <f t="shared" si="8"/>
        <v>28.188542868127644</v>
      </c>
      <c r="AH49" s="180">
        <f t="shared" si="9"/>
        <v>0</v>
      </c>
      <c r="AI49" s="180">
        <f t="shared" si="9"/>
        <v>0.49722222222222234</v>
      </c>
      <c r="AJ49" s="180">
        <f t="shared" si="9"/>
        <v>0.49722222222222234</v>
      </c>
      <c r="AK49" s="183">
        <f t="shared" si="18"/>
        <v>0</v>
      </c>
      <c r="AL49" s="183">
        <f t="shared" si="10"/>
        <v>-0.6592798353909467</v>
      </c>
      <c r="AM49" s="186">
        <f t="shared" si="11"/>
        <v>-0.6592798353909467</v>
      </c>
      <c r="AN49" s="180">
        <f>SUM($AM$19:AM49)</f>
        <v>-14.073868312757208</v>
      </c>
      <c r="AO49" s="181">
        <f t="shared" si="12"/>
        <v>28.188542868127652</v>
      </c>
      <c r="AP49" s="181">
        <f t="shared" si="13"/>
        <v>-37.375919802924813</v>
      </c>
      <c r="AQ49" s="188">
        <f t="shared" si="14"/>
        <v>169.13125720876593</v>
      </c>
      <c r="AR49" s="188">
        <f t="shared" si="14"/>
        <v>-224.25551881754888</v>
      </c>
      <c r="AS49" s="188">
        <f t="shared" si="15"/>
        <v>-42.282814302191483</v>
      </c>
      <c r="AT49" s="188">
        <f t="shared" si="16"/>
        <v>56.063879704387219</v>
      </c>
    </row>
    <row r="50" spans="1:46" s="77" customFormat="1" ht="12.75" x14ac:dyDescent="0.2">
      <c r="A50" s="73"/>
      <c r="B50" s="73"/>
      <c r="C50" s="76" t="s">
        <v>82</v>
      </c>
      <c r="D50" s="73">
        <f>F47*(K41+A41)/2</f>
        <v>12.5</v>
      </c>
      <c r="E50" s="89" t="s">
        <v>142</v>
      </c>
      <c r="F50" s="82"/>
      <c r="G50" s="73"/>
      <c r="H50" s="82"/>
      <c r="I50" s="82"/>
      <c r="J50" s="73"/>
      <c r="K50" s="73"/>
      <c r="L50" s="157"/>
      <c r="M50" s="156"/>
      <c r="N50" s="156"/>
      <c r="O50" s="156"/>
      <c r="P50" s="156"/>
      <c r="Q50" s="156"/>
      <c r="R50" s="156"/>
      <c r="S50" s="156"/>
      <c r="T50" s="156"/>
      <c r="U50" s="157"/>
      <c r="V50" s="88"/>
      <c r="W50" s="88"/>
      <c r="X50" s="157"/>
      <c r="Y50" s="83"/>
      <c r="Z50" s="160"/>
      <c r="AA50" s="165"/>
      <c r="AB50" s="160"/>
      <c r="AC50" s="83"/>
      <c r="AD50" s="83"/>
      <c r="AE50" s="83"/>
      <c r="AF50" s="83"/>
      <c r="AI50" s="83"/>
      <c r="AJ50" s="83"/>
      <c r="AK50" s="73"/>
    </row>
    <row r="51" spans="1:46" s="77" customFormat="1" ht="12.75" x14ac:dyDescent="0.2">
      <c r="A51" s="73"/>
      <c r="B51" s="82"/>
      <c r="C51" s="86"/>
      <c r="D51" s="161"/>
      <c r="E51" s="84"/>
      <c r="F51" s="88"/>
      <c r="G51" s="73"/>
      <c r="H51" s="84"/>
      <c r="I51" s="88"/>
      <c r="J51" s="87"/>
      <c r="K51" s="87"/>
      <c r="L51" s="157"/>
      <c r="M51" s="156"/>
      <c r="N51" s="156"/>
      <c r="O51" s="156"/>
      <c r="P51" s="156"/>
      <c r="Q51" s="156"/>
      <c r="R51" s="156"/>
      <c r="S51" s="156"/>
      <c r="T51" s="156"/>
      <c r="U51" s="157"/>
      <c r="V51" s="88"/>
      <c r="W51" s="88"/>
      <c r="X51" s="157"/>
      <c r="Y51" s="83"/>
      <c r="Z51" s="73"/>
      <c r="AA51" s="164"/>
      <c r="AB51" s="76" t="s">
        <v>163</v>
      </c>
      <c r="AC51" s="84">
        <f>SUM(AC20:AC49)</f>
        <v>0</v>
      </c>
      <c r="AD51" s="84">
        <f>SUM(AD20:AD49)</f>
        <v>12.5</v>
      </c>
      <c r="AE51" s="83"/>
      <c r="AF51" s="83"/>
      <c r="AG51" s="184">
        <f>SUM(AG20:AG49)</f>
        <v>708.6505190311417</v>
      </c>
      <c r="AH51" s="184"/>
      <c r="AI51" s="73"/>
      <c r="AJ51" s="184">
        <f>SUM(AJ20:AJ49)</f>
        <v>12.5</v>
      </c>
      <c r="AM51" s="184">
        <f>SUM(AM20:AM49)</f>
        <v>-14.073868312757208</v>
      </c>
      <c r="AO51" s="184">
        <f>SUM(AO20:AO49)</f>
        <v>708.65051903114193</v>
      </c>
      <c r="AP51" s="184">
        <f>SUM(AP20:AP49)</f>
        <v>-797.87632676890667</v>
      </c>
    </row>
    <row r="52" spans="1:46" s="77" customFormat="1" ht="12.75" x14ac:dyDescent="0.2">
      <c r="A52" s="73"/>
      <c r="C52" s="76" t="s">
        <v>224</v>
      </c>
      <c r="D52" s="77" t="str">
        <f>[1]!xln(D53)</f>
        <v>56.7 × 12.5</v>
      </c>
      <c r="E52" s="84"/>
      <c r="F52" s="88"/>
      <c r="G52" s="73"/>
      <c r="H52" s="84"/>
      <c r="I52" s="88"/>
      <c r="J52" s="87"/>
      <c r="K52" s="87"/>
      <c r="L52" s="157"/>
      <c r="M52" s="156"/>
      <c r="N52" s="156"/>
      <c r="O52" s="156"/>
      <c r="P52" s="156"/>
      <c r="Q52" s="156"/>
      <c r="R52" s="156"/>
      <c r="S52" s="156"/>
      <c r="T52" s="156"/>
      <c r="U52" s="157"/>
      <c r="V52" s="88"/>
      <c r="W52" s="88"/>
      <c r="X52" s="157"/>
      <c r="Y52" s="73"/>
      <c r="Z52" s="73"/>
      <c r="AA52" s="73"/>
      <c r="AB52" s="73"/>
      <c r="AC52" s="73"/>
      <c r="AD52" s="73"/>
      <c r="AE52" s="73"/>
      <c r="AF52" s="73"/>
      <c r="AG52" s="73"/>
      <c r="AH52" s="73"/>
      <c r="AI52" s="73"/>
      <c r="AO52" s="184"/>
    </row>
    <row r="53" spans="1:46" s="77" customFormat="1" ht="12.75" x14ac:dyDescent="0.2">
      <c r="A53" s="73"/>
      <c r="B53" s="82"/>
      <c r="C53" s="175" t="s">
        <v>82</v>
      </c>
      <c r="D53" s="158">
        <f>C32*D50</f>
        <v>708.65051903114193</v>
      </c>
      <c r="E53" s="101" t="s">
        <v>143</v>
      </c>
      <c r="F53" s="88"/>
      <c r="G53" s="73"/>
      <c r="H53" s="84"/>
      <c r="I53" s="88"/>
      <c r="J53" s="87"/>
      <c r="K53" s="87"/>
      <c r="L53" s="157"/>
      <c r="M53" s="156"/>
      <c r="N53" s="156"/>
      <c r="O53" s="156"/>
      <c r="P53" s="156"/>
      <c r="Q53" s="156"/>
      <c r="R53" s="156"/>
      <c r="S53" s="156"/>
      <c r="T53" s="156"/>
      <c r="U53" s="157"/>
      <c r="V53" s="88"/>
      <c r="W53" s="88"/>
      <c r="X53" s="157"/>
      <c r="AC53" s="76" t="s">
        <v>164</v>
      </c>
      <c r="AD53" s="181">
        <f>AC51+AD51</f>
        <v>12.5</v>
      </c>
      <c r="AE53" s="171"/>
      <c r="AF53" s="171"/>
      <c r="AG53" s="171"/>
      <c r="AH53" s="171"/>
    </row>
    <row r="54" spans="1:46" s="77" customFormat="1" ht="12.75" x14ac:dyDescent="0.2">
      <c r="A54" s="5"/>
      <c r="B54" s="46"/>
      <c r="C54" s="53"/>
      <c r="D54" s="43"/>
      <c r="E54" s="49"/>
      <c r="F54" s="40"/>
      <c r="G54" s="5"/>
      <c r="H54" s="49"/>
      <c r="I54" s="40"/>
      <c r="J54" s="47"/>
      <c r="K54" s="47"/>
      <c r="L54" s="157"/>
      <c r="M54" s="156"/>
      <c r="N54" s="156"/>
      <c r="O54" s="156"/>
      <c r="P54" s="156"/>
      <c r="Q54" s="156"/>
      <c r="R54" s="156"/>
      <c r="S54" s="156"/>
      <c r="T54" s="156"/>
      <c r="U54" s="157"/>
      <c r="V54" s="88"/>
      <c r="W54" s="88"/>
      <c r="X54" s="157"/>
    </row>
    <row r="55" spans="1:46" s="77" customFormat="1" ht="12.75" x14ac:dyDescent="0.2">
      <c r="A55" s="58"/>
      <c r="B55" s="59"/>
      <c r="C55" s="60"/>
      <c r="D55" s="58"/>
      <c r="E55" s="58"/>
      <c r="F55" s="58"/>
      <c r="G55" s="60"/>
      <c r="H55" s="58"/>
      <c r="I55" s="58"/>
      <c r="J55" s="58"/>
      <c r="K55" s="58"/>
      <c r="L55" s="157"/>
      <c r="M55" s="156"/>
      <c r="N55" s="156"/>
      <c r="O55" s="156"/>
      <c r="P55" s="156"/>
      <c r="Q55" s="156"/>
      <c r="R55" s="156"/>
      <c r="S55" s="156"/>
      <c r="T55" s="156"/>
      <c r="U55" s="157"/>
      <c r="V55" s="166"/>
      <c r="W55" s="88"/>
      <c r="X55" s="157"/>
    </row>
    <row r="56" spans="1:46" s="28" customFormat="1" ht="12.75" x14ac:dyDescent="0.2">
      <c r="L56" s="30"/>
      <c r="M56" s="27"/>
      <c r="N56" s="27"/>
      <c r="O56" s="27"/>
      <c r="P56" s="27"/>
      <c r="Q56" s="27"/>
      <c r="R56" s="27"/>
      <c r="S56" s="27"/>
      <c r="T56" s="27"/>
      <c r="U56" s="30"/>
      <c r="V56" s="5"/>
      <c r="W56" s="5"/>
      <c r="X56" s="30"/>
    </row>
    <row r="57" spans="1:46" s="28" customFormat="1" ht="12.75" x14ac:dyDescent="0.2">
      <c r="L57" s="30"/>
      <c r="M57" s="27"/>
      <c r="N57" s="27"/>
      <c r="O57" s="27"/>
      <c r="P57" s="27"/>
      <c r="Q57" s="27"/>
      <c r="R57" s="27"/>
      <c r="S57" s="27"/>
      <c r="T57" s="27"/>
      <c r="U57" s="30"/>
      <c r="V57" s="30"/>
      <c r="W57" s="30"/>
      <c r="X57" s="30"/>
    </row>
    <row r="58" spans="1:46" s="28" customFormat="1" ht="12.75" x14ac:dyDescent="0.2">
      <c r="A58" s="58"/>
      <c r="B58" s="59"/>
      <c r="C58" s="60"/>
      <c r="D58" s="58"/>
      <c r="E58" s="58"/>
      <c r="F58" s="58"/>
      <c r="G58" s="60"/>
      <c r="H58" s="58"/>
      <c r="I58" s="58"/>
      <c r="J58" s="58"/>
      <c r="K58" s="58"/>
      <c r="L58" s="30"/>
      <c r="M58" s="27"/>
      <c r="N58" s="27"/>
      <c r="O58" s="27"/>
      <c r="P58" s="27"/>
      <c r="Q58" s="27"/>
      <c r="R58" s="27"/>
      <c r="S58" s="27"/>
      <c r="T58" s="27"/>
      <c r="U58" s="30"/>
      <c r="V58" s="30"/>
      <c r="W58" s="30"/>
      <c r="X58" s="30"/>
    </row>
    <row r="59" spans="1:46" s="28" customFormat="1" ht="12.75" x14ac:dyDescent="0.2">
      <c r="A59" s="58"/>
      <c r="B59" s="59"/>
      <c r="C59" s="60"/>
      <c r="D59" s="58"/>
      <c r="E59" s="58"/>
      <c r="F59" s="58"/>
      <c r="G59" s="60"/>
      <c r="H59" s="58"/>
      <c r="I59" s="58"/>
      <c r="J59" s="58"/>
      <c r="K59" s="58"/>
      <c r="L59" s="30"/>
      <c r="M59" s="27"/>
      <c r="N59" s="27"/>
      <c r="O59" s="27"/>
      <c r="P59" s="27"/>
      <c r="Q59" s="27"/>
      <c r="R59" s="27"/>
      <c r="S59" s="27"/>
      <c r="T59" s="27"/>
      <c r="U59" s="30"/>
      <c r="V59" s="30"/>
      <c r="W59" s="30"/>
      <c r="X59" s="30"/>
    </row>
    <row r="60" spans="1:46" s="28" customFormat="1" ht="12.75" x14ac:dyDescent="0.2">
      <c r="A60" s="58"/>
      <c r="B60" s="59"/>
      <c r="C60" s="60"/>
      <c r="D60" s="58"/>
      <c r="E60" s="58"/>
      <c r="F60" s="58"/>
      <c r="G60" s="60"/>
      <c r="H60" s="58"/>
      <c r="I60" s="58"/>
      <c r="J60" s="58"/>
      <c r="K60" s="58"/>
      <c r="L60" s="30"/>
      <c r="M60" s="27"/>
      <c r="N60" s="27"/>
      <c r="O60" s="27"/>
      <c r="P60" s="27"/>
      <c r="Q60" s="27"/>
      <c r="R60" s="27"/>
      <c r="S60" s="27"/>
      <c r="T60" s="27"/>
      <c r="U60" s="30"/>
      <c r="V60" s="30"/>
      <c r="W60" s="30"/>
      <c r="X60" s="30"/>
    </row>
    <row r="61" spans="1:46" s="28" customFormat="1" ht="12.75" x14ac:dyDescent="0.2">
      <c r="A61" s="58"/>
      <c r="B61" s="59"/>
      <c r="C61" s="60"/>
      <c r="D61" s="58"/>
      <c r="E61" s="58"/>
      <c r="F61" s="58"/>
      <c r="G61" s="60"/>
      <c r="H61" s="58"/>
      <c r="I61" s="58"/>
      <c r="J61" s="58"/>
      <c r="K61" s="58"/>
      <c r="L61" s="30"/>
      <c r="M61" s="27"/>
      <c r="N61" s="27"/>
      <c r="O61" s="27"/>
      <c r="P61" s="27"/>
      <c r="Q61" s="27"/>
      <c r="R61" s="27"/>
      <c r="S61" s="27"/>
      <c r="T61" s="27"/>
      <c r="U61" s="30"/>
      <c r="V61" s="30"/>
      <c r="W61" s="30"/>
      <c r="X61" s="30"/>
    </row>
    <row r="62" spans="1:46" s="28" customFormat="1" ht="12.75" x14ac:dyDescent="0.2">
      <c r="A62" s="58"/>
      <c r="B62" s="59"/>
      <c r="C62" s="60"/>
      <c r="D62" s="58"/>
      <c r="E62" s="58"/>
      <c r="F62" s="58"/>
      <c r="G62" s="60"/>
      <c r="H62" s="58"/>
      <c r="I62" s="58"/>
      <c r="J62" s="58"/>
      <c r="K62" s="58"/>
      <c r="L62" s="30"/>
      <c r="M62" s="27"/>
      <c r="N62" s="27"/>
      <c r="O62" s="27"/>
      <c r="P62" s="27"/>
      <c r="Q62" s="27"/>
      <c r="R62" s="27"/>
      <c r="S62" s="27"/>
      <c r="T62" s="27"/>
      <c r="U62" s="30"/>
      <c r="V62" s="30"/>
      <c r="W62" s="30"/>
      <c r="X62" s="30"/>
    </row>
    <row r="63" spans="1:46" s="28" customFormat="1" ht="12.75" x14ac:dyDescent="0.2">
      <c r="A63" s="145" t="s">
        <v>118</v>
      </c>
      <c r="B63" s="146"/>
      <c r="C63" s="146"/>
      <c r="D63" s="146"/>
      <c r="E63" s="146"/>
      <c r="F63" s="146"/>
      <c r="G63" s="147"/>
      <c r="H63" s="147"/>
      <c r="I63" s="147"/>
      <c r="J63" s="147"/>
      <c r="K63" s="148"/>
      <c r="L63" s="30"/>
      <c r="M63" s="27"/>
      <c r="N63" s="27"/>
      <c r="O63" s="27"/>
      <c r="P63" s="27"/>
      <c r="Q63" s="27"/>
      <c r="R63" s="27"/>
      <c r="S63" s="27"/>
      <c r="T63" s="27"/>
      <c r="U63" s="30"/>
      <c r="V63" s="30"/>
      <c r="W63" s="30"/>
      <c r="X63" s="30"/>
    </row>
    <row r="64" spans="1:46" s="28" customFormat="1" ht="12.75" x14ac:dyDescent="0.2">
      <c r="A64" s="149"/>
      <c r="B64" s="149"/>
      <c r="C64" s="149"/>
      <c r="D64" s="150"/>
      <c r="E64" s="150"/>
      <c r="F64" s="151" t="s">
        <v>119</v>
      </c>
      <c r="G64" s="152" t="s">
        <v>120</v>
      </c>
      <c r="H64" s="153"/>
      <c r="I64" s="154"/>
      <c r="J64" s="154"/>
      <c r="K64" s="155"/>
      <c r="L64" s="30"/>
      <c r="M64" s="27"/>
      <c r="N64" s="27"/>
      <c r="O64" s="27"/>
      <c r="P64" s="27"/>
      <c r="Q64" s="27"/>
      <c r="R64" s="27"/>
      <c r="S64" s="27"/>
      <c r="T64" s="27"/>
      <c r="U64" s="30"/>
      <c r="V64" s="30"/>
      <c r="W64" s="30"/>
      <c r="X64" s="30"/>
    </row>
    <row r="65" spans="1:35" s="5" customFormat="1" ht="12.75" x14ac:dyDescent="0.2">
      <c r="A65" s="14"/>
      <c r="E65" s="7" t="s">
        <v>1</v>
      </c>
      <c r="F65" s="8" t="str">
        <f>$C$1</f>
        <v>R. Abbott</v>
      </c>
      <c r="H65" s="15"/>
      <c r="I65" s="7" t="s">
        <v>8</v>
      </c>
      <c r="J65" s="16" t="str">
        <f>$G$2</f>
        <v>AA-SM-515-000</v>
      </c>
      <c r="K65" s="17"/>
      <c r="L65" s="18"/>
      <c r="M65" s="9"/>
      <c r="N65" s="9"/>
      <c r="O65" s="9"/>
      <c r="P65" s="9"/>
      <c r="Q65" s="11"/>
      <c r="R65" s="12"/>
      <c r="S65" s="36"/>
      <c r="T65" s="35"/>
    </row>
    <row r="66" spans="1:35" s="5" customFormat="1" ht="12.75" x14ac:dyDescent="0.2">
      <c r="E66" s="7" t="s">
        <v>2</v>
      </c>
      <c r="F66" s="15" t="str">
        <f>$C$2</f>
        <v xml:space="preserve"> </v>
      </c>
      <c r="H66" s="15"/>
      <c r="I66" s="7" t="s">
        <v>9</v>
      </c>
      <c r="J66" s="17" t="str">
        <f>$G$3</f>
        <v>IR</v>
      </c>
      <c r="K66" s="17"/>
      <c r="L66" s="18"/>
      <c r="M66" s="9">
        <v>1</v>
      </c>
      <c r="N66" s="9"/>
      <c r="O66" s="9"/>
      <c r="P66" s="9"/>
      <c r="Q66" s="11"/>
      <c r="R66" s="12"/>
      <c r="S66" s="36"/>
      <c r="T66" s="35"/>
    </row>
    <row r="67" spans="1:35" s="5" customFormat="1" ht="12.75" x14ac:dyDescent="0.2">
      <c r="E67" s="7" t="s">
        <v>3</v>
      </c>
      <c r="F67" s="15" t="str">
        <f>$C$3</f>
        <v>05/03/2017</v>
      </c>
      <c r="H67" s="15"/>
      <c r="I67" s="7" t="s">
        <v>6</v>
      </c>
      <c r="J67" s="8" t="str">
        <f>L67&amp;" of "&amp;$G$1</f>
        <v>16 of 17</v>
      </c>
      <c r="K67" s="15"/>
      <c r="L67" s="18">
        <f>SUM($M$1:M66)</f>
        <v>16</v>
      </c>
      <c r="M67" s="9"/>
      <c r="N67" s="9"/>
      <c r="O67" s="9"/>
      <c r="P67" s="9"/>
      <c r="Q67" s="11"/>
      <c r="R67" s="12"/>
      <c r="S67" s="36"/>
      <c r="T67" s="35"/>
    </row>
    <row r="68" spans="1:35" s="5" customFormat="1" ht="12.75" x14ac:dyDescent="0.2">
      <c r="A68" s="26"/>
      <c r="B68" s="26"/>
      <c r="C68" s="26"/>
      <c r="D68" s="26"/>
      <c r="E68" s="7" t="s">
        <v>29</v>
      </c>
      <c r="F68" s="15" t="str">
        <f>$C$5</f>
        <v>STANDARD SPREADSHEET METHOD</v>
      </c>
      <c r="I68" s="19"/>
      <c r="J68" s="8"/>
      <c r="M68" s="9"/>
      <c r="N68" s="9"/>
      <c r="O68" s="9"/>
      <c r="P68" s="9"/>
      <c r="Q68" s="9"/>
      <c r="R68" s="9"/>
      <c r="S68" s="34"/>
      <c r="T68" s="35"/>
    </row>
    <row r="69" spans="1:35" s="28" customFormat="1" x14ac:dyDescent="0.25">
      <c r="A69" s="70"/>
      <c r="B69" s="21" t="str">
        <f>$G$4</f>
        <v>SIMPLIFIED PART 23 AIRCRAFT LOADS</v>
      </c>
      <c r="C69" s="71"/>
      <c r="D69" s="71"/>
      <c r="E69" s="72"/>
      <c r="F69" s="71"/>
      <c r="G69" s="71"/>
      <c r="H69" s="71"/>
      <c r="I69" s="71"/>
      <c r="J69" s="71"/>
      <c r="K69" s="71"/>
      <c r="L69" s="30"/>
      <c r="M69" s="37"/>
      <c r="N69" s="38"/>
      <c r="O69" s="38"/>
      <c r="P69" s="38"/>
      <c r="Q69" s="38"/>
      <c r="R69" s="37"/>
      <c r="S69" s="37"/>
      <c r="T69" s="39"/>
    </row>
    <row r="70" spans="1:35" s="26" customFormat="1" ht="12.75" x14ac:dyDescent="0.2">
      <c r="A70" s="73"/>
      <c r="B70" s="73" t="s">
        <v>47</v>
      </c>
      <c r="C70" s="73"/>
      <c r="D70" s="73"/>
      <c r="E70" s="73"/>
      <c r="F70" s="73"/>
      <c r="G70" s="73"/>
      <c r="H70" s="73"/>
      <c r="I70" s="73"/>
      <c r="J70" s="73"/>
      <c r="K70" s="73"/>
      <c r="L70" s="29"/>
      <c r="M70" s="27"/>
      <c r="N70" s="27"/>
      <c r="O70" s="27"/>
      <c r="P70" s="27"/>
      <c r="Q70" s="27"/>
      <c r="R70" s="27"/>
      <c r="S70" s="27"/>
      <c r="T70" s="27"/>
    </row>
    <row r="71" spans="1:35" s="26" customFormat="1" ht="12.75" x14ac:dyDescent="0.2">
      <c r="A71" s="73"/>
      <c r="B71" s="114"/>
      <c r="C71" s="73"/>
      <c r="D71" s="76"/>
      <c r="E71" s="73"/>
      <c r="F71" s="73"/>
      <c r="G71" s="77"/>
      <c r="H71" s="73"/>
      <c r="I71" s="73"/>
      <c r="J71" s="73"/>
      <c r="K71" s="73"/>
      <c r="M71" s="27"/>
      <c r="N71" s="27"/>
      <c r="O71" s="27"/>
      <c r="P71" s="27"/>
      <c r="Q71" s="27"/>
      <c r="R71" s="27"/>
      <c r="S71" s="27"/>
      <c r="T71" s="27"/>
    </row>
    <row r="72" spans="1:35" s="26" customFormat="1" ht="12.75" x14ac:dyDescent="0.2">
      <c r="B72" s="26" t="s">
        <v>186</v>
      </c>
      <c r="M72" s="27"/>
      <c r="N72" s="27"/>
      <c r="O72" s="27"/>
      <c r="P72" s="27"/>
      <c r="Q72" s="27"/>
      <c r="R72" s="27"/>
      <c r="S72" s="27"/>
      <c r="T72" s="27"/>
      <c r="V72" s="40"/>
      <c r="W72" s="40"/>
      <c r="Y72" s="5"/>
      <c r="Z72" s="5"/>
      <c r="AA72" s="5"/>
      <c r="AB72" s="5"/>
      <c r="AC72" s="7"/>
      <c r="AD72" s="5"/>
      <c r="AE72" s="5"/>
      <c r="AF72" s="5"/>
      <c r="AG72" s="5"/>
      <c r="AH72" s="5"/>
      <c r="AI72" s="5"/>
    </row>
    <row r="73" spans="1:35" s="28" customFormat="1" ht="13.5" customHeight="1" x14ac:dyDescent="0.2">
      <c r="L73" s="30"/>
      <c r="M73" s="27"/>
      <c r="N73" s="27"/>
      <c r="O73" s="27"/>
      <c r="P73" s="27"/>
      <c r="Q73" s="27"/>
      <c r="R73" s="27"/>
      <c r="S73" s="27"/>
      <c r="T73" s="27"/>
      <c r="U73" s="30"/>
      <c r="V73" s="40"/>
      <c r="W73" s="40"/>
      <c r="X73" s="30"/>
      <c r="Y73" s="5"/>
      <c r="Z73" s="18"/>
      <c r="AA73" s="46"/>
      <c r="AB73" s="46"/>
      <c r="AC73" s="5"/>
      <c r="AD73" s="5"/>
      <c r="AE73" s="5"/>
      <c r="AF73" s="5"/>
      <c r="AG73" s="5"/>
      <c r="AH73" s="5"/>
      <c r="AI73" s="5"/>
    </row>
    <row r="74" spans="1:35" s="28" customFormat="1" ht="12.75" x14ac:dyDescent="0.2">
      <c r="L74" s="30"/>
      <c r="M74" s="27"/>
      <c r="N74" s="27"/>
      <c r="O74" s="27"/>
      <c r="P74" s="27"/>
      <c r="Q74" s="27"/>
      <c r="R74" s="27"/>
      <c r="S74" s="27"/>
      <c r="T74" s="27"/>
      <c r="U74" s="30"/>
      <c r="V74" s="40"/>
      <c r="W74" s="40"/>
      <c r="X74" s="30"/>
      <c r="Y74" s="5"/>
      <c r="Z74" s="46"/>
      <c r="AA74" s="29"/>
      <c r="AB74" s="31"/>
      <c r="AC74" s="5"/>
      <c r="AD74" s="5"/>
      <c r="AE74" s="5"/>
      <c r="AF74" s="5"/>
      <c r="AG74" s="5"/>
      <c r="AH74" s="5"/>
      <c r="AI74" s="5"/>
    </row>
    <row r="75" spans="1:35" s="28" customFormat="1" ht="12.75" x14ac:dyDescent="0.2">
      <c r="C75" s="135" t="s">
        <v>165</v>
      </c>
      <c r="L75" s="30"/>
      <c r="M75" s="27"/>
      <c r="N75" s="27"/>
      <c r="O75" s="27"/>
      <c r="P75" s="27"/>
      <c r="Q75" s="27"/>
      <c r="R75" s="27"/>
      <c r="S75" s="27"/>
      <c r="T75" s="27"/>
      <c r="U75" s="30"/>
      <c r="V75" s="40"/>
      <c r="W75" s="40"/>
      <c r="X75" s="30"/>
      <c r="Y75" s="5"/>
      <c r="Z75" s="46"/>
      <c r="AA75" s="29"/>
      <c r="AB75" s="31"/>
      <c r="AC75" s="47"/>
      <c r="AD75" s="5"/>
      <c r="AE75" s="48"/>
      <c r="AF75" s="47"/>
      <c r="AG75" s="47"/>
      <c r="AH75" s="47"/>
      <c r="AI75" s="5"/>
    </row>
    <row r="76" spans="1:35" s="28" customFormat="1" ht="12.75" x14ac:dyDescent="0.2">
      <c r="L76" s="30"/>
      <c r="M76" s="27"/>
      <c r="N76" s="27"/>
      <c r="O76" s="27"/>
      <c r="P76" s="27"/>
      <c r="Q76" s="27"/>
      <c r="R76" s="27"/>
      <c r="S76" s="27"/>
      <c r="T76" s="27"/>
      <c r="U76" s="30"/>
      <c r="V76" s="40"/>
      <c r="X76" s="121"/>
      <c r="Y76" s="122"/>
      <c r="Z76" s="123"/>
      <c r="AA76" s="124"/>
      <c r="AB76" s="124"/>
      <c r="AC76" s="123"/>
      <c r="AD76" s="47"/>
      <c r="AE76" s="47"/>
      <c r="AH76" s="47"/>
      <c r="AI76" s="23"/>
    </row>
    <row r="77" spans="1:35" s="28" customFormat="1" ht="12.75" x14ac:dyDescent="0.2">
      <c r="L77" s="30"/>
      <c r="M77" s="27"/>
      <c r="N77" s="27"/>
      <c r="O77" s="27"/>
      <c r="P77" s="27"/>
      <c r="Q77" s="27"/>
      <c r="R77" s="27"/>
      <c r="S77" s="27"/>
      <c r="T77" s="27"/>
      <c r="U77" s="30"/>
      <c r="V77" s="40"/>
      <c r="W77" s="40"/>
      <c r="X77" s="30"/>
      <c r="Y77" s="23"/>
      <c r="Z77" s="50"/>
      <c r="AA77" s="29"/>
      <c r="AB77" s="31"/>
      <c r="AC77" s="51"/>
      <c r="AD77" s="51"/>
      <c r="AE77" s="51"/>
      <c r="AG77" s="47"/>
      <c r="AH77" s="51"/>
      <c r="AI77" s="23"/>
    </row>
    <row r="78" spans="1:35" s="28" customFormat="1" ht="12.75" x14ac:dyDescent="0.2">
      <c r="L78" s="30"/>
      <c r="M78" s="27"/>
      <c r="N78" s="27"/>
      <c r="O78" s="27"/>
      <c r="P78" s="27"/>
      <c r="Q78" s="27"/>
      <c r="R78" s="27"/>
      <c r="S78" s="27"/>
      <c r="T78" s="27"/>
      <c r="U78" s="30"/>
      <c r="V78" s="40"/>
      <c r="W78" s="40"/>
      <c r="X78" s="5"/>
      <c r="Y78" s="5"/>
      <c r="Z78" s="5"/>
      <c r="AA78" s="5"/>
      <c r="AB78" s="5"/>
      <c r="AC78" s="5"/>
      <c r="AD78" s="5"/>
      <c r="AE78" s="5"/>
      <c r="AF78" s="5"/>
      <c r="AG78" s="5"/>
      <c r="AH78" s="5"/>
      <c r="AI78" s="5"/>
    </row>
    <row r="79" spans="1:35" s="28" customFormat="1" ht="12.75" x14ac:dyDescent="0.2">
      <c r="L79" s="30"/>
      <c r="M79" s="27"/>
      <c r="N79" s="27"/>
      <c r="O79" s="27"/>
      <c r="P79" s="27"/>
      <c r="Q79" s="27"/>
      <c r="R79" s="27"/>
      <c r="S79" s="27"/>
      <c r="T79" s="27"/>
      <c r="U79" s="30"/>
      <c r="V79" s="40"/>
      <c r="W79" s="40"/>
      <c r="X79" s="23"/>
      <c r="Y79" s="23"/>
      <c r="Z79" s="23"/>
      <c r="AA79" s="23"/>
      <c r="AB79" s="23"/>
      <c r="AC79" s="23"/>
      <c r="AD79" s="5"/>
      <c r="AE79" s="5"/>
      <c r="AF79" s="5"/>
      <c r="AG79" s="5"/>
      <c r="AH79" s="51"/>
      <c r="AI79" s="5"/>
    </row>
    <row r="80" spans="1:35" s="28" customFormat="1" ht="12.75" x14ac:dyDescent="0.2">
      <c r="H80" s="28" t="s">
        <v>185</v>
      </c>
      <c r="L80" s="30"/>
      <c r="M80" s="27"/>
      <c r="N80" s="27"/>
      <c r="O80" s="27"/>
      <c r="P80" s="27"/>
      <c r="Q80" s="27"/>
      <c r="R80" s="27"/>
      <c r="S80" s="27"/>
      <c r="T80" s="27"/>
      <c r="U80" s="30"/>
      <c r="V80" s="40"/>
      <c r="W80" s="40"/>
      <c r="X80" s="30"/>
      <c r="Y80" s="5"/>
      <c r="Z80" s="5"/>
      <c r="AA80" s="5"/>
      <c r="AB80" s="5"/>
      <c r="AC80" s="5"/>
      <c r="AD80" s="18"/>
      <c r="AE80" s="18"/>
      <c r="AF80" s="18"/>
      <c r="AG80" s="18"/>
      <c r="AH80" s="51"/>
      <c r="AI80" s="5"/>
    </row>
    <row r="81" spans="1:35" s="28" customFormat="1" ht="12.75" x14ac:dyDescent="0.2">
      <c r="L81" s="30"/>
      <c r="M81" s="27"/>
      <c r="N81" s="27"/>
      <c r="O81" s="27"/>
      <c r="P81" s="27"/>
      <c r="Q81" s="27"/>
      <c r="R81" s="27"/>
      <c r="S81" s="27"/>
      <c r="T81" s="27"/>
      <c r="U81" s="30"/>
      <c r="V81" s="40"/>
      <c r="W81" s="40"/>
      <c r="X81" s="30"/>
      <c r="Y81" s="5"/>
      <c r="Z81" s="5"/>
      <c r="AA81" s="5"/>
      <c r="AB81" s="5"/>
      <c r="AC81" s="5"/>
      <c r="AD81" s="18"/>
      <c r="AE81" s="18"/>
      <c r="AF81" s="49"/>
      <c r="AG81" s="18"/>
      <c r="AH81" s="51"/>
      <c r="AI81" s="5"/>
    </row>
    <row r="82" spans="1:35" s="28" customFormat="1" ht="12.75" x14ac:dyDescent="0.2">
      <c r="A82" s="73"/>
      <c r="B82" s="75" t="s">
        <v>228</v>
      </c>
      <c r="C82" s="73"/>
      <c r="D82" s="76"/>
      <c r="E82" s="73"/>
      <c r="F82" s="73"/>
      <c r="G82" s="73"/>
      <c r="H82" s="73"/>
      <c r="I82" s="73"/>
      <c r="J82" s="73"/>
      <c r="K82" s="73"/>
      <c r="L82" s="30"/>
      <c r="M82" s="27"/>
      <c r="N82" s="27"/>
      <c r="O82" s="27"/>
      <c r="P82" s="27"/>
      <c r="Q82" s="27"/>
      <c r="R82" s="27"/>
      <c r="S82" s="27"/>
      <c r="T82" s="27"/>
      <c r="U82" s="30"/>
      <c r="V82" s="40"/>
      <c r="W82" s="40"/>
      <c r="X82" s="30"/>
      <c r="Y82" s="5"/>
      <c r="Z82" s="5"/>
      <c r="AA82" s="5"/>
      <c r="AB82" s="5"/>
      <c r="AC82" s="5"/>
      <c r="AD82" s="18"/>
      <c r="AE82" s="18"/>
      <c r="AF82" s="18"/>
      <c r="AG82" s="18"/>
      <c r="AH82" s="5"/>
      <c r="AI82" s="5"/>
    </row>
    <row r="83" spans="1:35" s="28" customFormat="1" ht="12.75" x14ac:dyDescent="0.2">
      <c r="L83" s="30"/>
      <c r="M83" s="27"/>
      <c r="N83" s="27"/>
      <c r="O83" s="27"/>
      <c r="P83" s="27"/>
      <c r="Q83" s="27"/>
      <c r="R83" s="27"/>
      <c r="S83" s="27"/>
      <c r="T83" s="27"/>
      <c r="U83" s="30"/>
      <c r="V83" s="40"/>
      <c r="W83" s="40"/>
      <c r="X83" s="117"/>
      <c r="Y83" s="117"/>
      <c r="Z83" s="117"/>
      <c r="AA83" s="117"/>
      <c r="AB83" s="117"/>
      <c r="AC83" s="117"/>
      <c r="AD83" s="18"/>
      <c r="AE83" s="18"/>
      <c r="AF83" s="18"/>
      <c r="AG83" s="18"/>
      <c r="AH83" s="5"/>
      <c r="AI83" s="5"/>
    </row>
    <row r="84" spans="1:35" s="28" customFormat="1" ht="12.75" x14ac:dyDescent="0.2">
      <c r="B84" s="193" t="s">
        <v>229</v>
      </c>
      <c r="L84" s="30"/>
      <c r="M84" s="27"/>
      <c r="N84" s="27"/>
      <c r="O84" s="27"/>
      <c r="P84" s="27"/>
      <c r="Q84" s="27"/>
      <c r="R84" s="27"/>
      <c r="S84" s="27"/>
      <c r="T84" s="27"/>
      <c r="U84" s="30"/>
      <c r="V84" s="40"/>
      <c r="W84" s="40"/>
      <c r="X84" s="117"/>
      <c r="Y84" s="117"/>
      <c r="Z84" s="117"/>
      <c r="AA84" s="117"/>
      <c r="AB84" s="117"/>
      <c r="AC84" s="117"/>
      <c r="AD84" s="18"/>
      <c r="AE84" s="40"/>
      <c r="AF84" s="117"/>
      <c r="AG84" s="117"/>
      <c r="AH84" s="5"/>
      <c r="AI84" s="5"/>
    </row>
    <row r="85" spans="1:35" s="28" customFormat="1" ht="12.75" x14ac:dyDescent="0.2">
      <c r="A85" s="73"/>
      <c r="B85" s="73"/>
      <c r="C85" s="73"/>
      <c r="D85" s="76"/>
      <c r="E85" s="73"/>
      <c r="F85" s="73"/>
      <c r="G85" s="73"/>
      <c r="H85" s="73"/>
      <c r="I85" s="73"/>
      <c r="J85" s="73"/>
      <c r="K85" s="73"/>
      <c r="L85" s="30"/>
      <c r="M85" s="27"/>
      <c r="N85" s="27"/>
      <c r="O85" s="27"/>
      <c r="P85" s="27"/>
      <c r="Q85" s="27"/>
      <c r="R85" s="27"/>
      <c r="S85" s="27"/>
      <c r="T85" s="27"/>
      <c r="U85" s="30"/>
      <c r="V85" s="40"/>
      <c r="W85" s="40"/>
      <c r="X85" s="117"/>
      <c r="Y85" s="117"/>
      <c r="Z85" s="117"/>
      <c r="AA85" s="117"/>
      <c r="AB85" s="117"/>
      <c r="AC85" s="117"/>
      <c r="AD85" s="18"/>
      <c r="AE85" s="51"/>
      <c r="AF85" s="54"/>
      <c r="AG85" s="51"/>
      <c r="AH85" s="51"/>
      <c r="AI85" s="23"/>
    </row>
    <row r="86" spans="1:35" s="28" customFormat="1" ht="12.75" x14ac:dyDescent="0.2">
      <c r="A86" s="77"/>
      <c r="B86" s="76"/>
      <c r="C86" s="76"/>
      <c r="D86" s="101"/>
      <c r="E86" s="77"/>
      <c r="F86" s="77"/>
      <c r="G86" s="77"/>
      <c r="H86" s="77"/>
      <c r="I86" s="77"/>
      <c r="J86" s="77"/>
      <c r="K86" s="77"/>
      <c r="L86" s="30"/>
      <c r="M86" s="27"/>
      <c r="N86" s="27"/>
      <c r="O86" s="27"/>
      <c r="P86" s="27"/>
      <c r="Q86" s="27"/>
      <c r="R86" s="27"/>
      <c r="S86" s="27"/>
      <c r="T86" s="27"/>
      <c r="U86" s="30"/>
      <c r="V86" s="40"/>
      <c r="W86" s="40"/>
      <c r="X86" s="117"/>
      <c r="Y86" s="117"/>
      <c r="Z86" s="117"/>
      <c r="AA86" s="117"/>
      <c r="AB86" s="117"/>
      <c r="AC86" s="117"/>
      <c r="AD86" s="18"/>
      <c r="AE86" s="45"/>
      <c r="AF86" s="45"/>
      <c r="AG86" s="45"/>
      <c r="AH86" s="45"/>
      <c r="AI86" s="44"/>
    </row>
    <row r="87" spans="1:35" s="28" customFormat="1" ht="12.75" x14ac:dyDescent="0.2">
      <c r="A87" s="73"/>
      <c r="B87" s="76"/>
      <c r="C87" s="158"/>
      <c r="D87" s="101"/>
      <c r="E87" s="73"/>
      <c r="F87" s="73"/>
      <c r="G87" s="73"/>
      <c r="H87" s="77"/>
      <c r="I87" s="77"/>
      <c r="J87" s="77"/>
      <c r="K87" s="73"/>
      <c r="L87" s="30"/>
      <c r="M87" s="27"/>
      <c r="N87" s="27"/>
      <c r="O87" s="27"/>
      <c r="P87" s="27"/>
      <c r="Q87" s="27"/>
      <c r="R87" s="27"/>
      <c r="S87" s="27"/>
      <c r="T87" s="27"/>
      <c r="U87" s="30"/>
      <c r="V87" s="40"/>
      <c r="W87" s="40"/>
      <c r="X87" s="117"/>
      <c r="Y87" s="117"/>
      <c r="Z87" s="117"/>
      <c r="AA87" s="117"/>
      <c r="AB87" s="117"/>
      <c r="AC87" s="117"/>
      <c r="AD87" s="18"/>
      <c r="AE87" s="45"/>
      <c r="AF87" s="45"/>
      <c r="AG87" s="45"/>
      <c r="AH87" s="45"/>
      <c r="AI87" s="44"/>
    </row>
    <row r="88" spans="1:35" s="28" customFormat="1" ht="12.75" x14ac:dyDescent="0.2">
      <c r="A88" s="73"/>
      <c r="B88" s="103"/>
      <c r="C88" s="104"/>
      <c r="D88" s="101"/>
      <c r="E88" s="73"/>
      <c r="F88" s="73"/>
      <c r="G88" s="73"/>
      <c r="H88" s="77"/>
      <c r="I88" s="77"/>
      <c r="J88" s="77"/>
      <c r="K88" s="73"/>
      <c r="L88" s="30"/>
      <c r="M88" s="27"/>
      <c r="N88" s="27"/>
      <c r="O88" s="27"/>
      <c r="P88" s="27"/>
      <c r="Q88" s="27"/>
      <c r="R88" s="27"/>
      <c r="S88" s="27"/>
      <c r="T88" s="27"/>
      <c r="U88" s="30"/>
      <c r="V88" s="40"/>
      <c r="W88" s="40"/>
      <c r="X88" s="117"/>
      <c r="Y88" s="117"/>
      <c r="Z88" s="117"/>
      <c r="AA88" s="117"/>
      <c r="AB88" s="117"/>
      <c r="AC88" s="117"/>
      <c r="AD88" s="18"/>
      <c r="AE88" s="45"/>
      <c r="AF88" s="45"/>
      <c r="AG88" s="45"/>
      <c r="AH88" s="45"/>
      <c r="AI88" s="44"/>
    </row>
    <row r="89" spans="1:35" s="28" customFormat="1" ht="12.75" x14ac:dyDescent="0.2">
      <c r="A89" s="79"/>
      <c r="B89" s="77"/>
      <c r="C89" s="77"/>
      <c r="D89" s="77"/>
      <c r="E89" s="77"/>
      <c r="F89" s="77"/>
      <c r="G89" s="77"/>
      <c r="H89" s="77"/>
      <c r="I89" s="73"/>
      <c r="J89" s="73"/>
      <c r="K89" s="73"/>
      <c r="L89" s="30"/>
      <c r="M89" s="27"/>
      <c r="N89" s="27"/>
      <c r="O89" s="27"/>
      <c r="P89" s="27"/>
      <c r="Q89" s="27"/>
      <c r="R89" s="27"/>
      <c r="S89" s="27"/>
      <c r="T89" s="27"/>
      <c r="U89" s="30"/>
      <c r="V89" s="40"/>
      <c r="W89" s="40"/>
      <c r="X89" s="117"/>
      <c r="Y89" s="117"/>
      <c r="Z89" s="117"/>
      <c r="AA89" s="117"/>
      <c r="AB89" s="117"/>
      <c r="AC89" s="117"/>
      <c r="AD89" s="18"/>
      <c r="AE89" s="45"/>
      <c r="AF89" s="45"/>
      <c r="AG89" s="45"/>
      <c r="AH89" s="45"/>
      <c r="AI89" s="44"/>
    </row>
    <row r="90" spans="1:35" s="28" customFormat="1" ht="12.75" x14ac:dyDescent="0.2">
      <c r="A90" s="77"/>
      <c r="B90" s="76"/>
      <c r="C90" s="76"/>
      <c r="D90" s="101"/>
      <c r="E90" s="77"/>
      <c r="F90" s="77"/>
      <c r="G90" s="77"/>
      <c r="H90" s="77"/>
      <c r="I90" s="77"/>
      <c r="J90" s="77"/>
      <c r="K90" s="77"/>
      <c r="L90" s="30"/>
      <c r="M90" s="27"/>
      <c r="N90" s="27"/>
      <c r="O90" s="27"/>
      <c r="P90" s="27"/>
      <c r="Q90" s="27"/>
      <c r="R90" s="27"/>
      <c r="S90" s="27"/>
      <c r="T90" s="27"/>
      <c r="U90" s="30"/>
      <c r="V90" s="40"/>
      <c r="W90" s="40"/>
      <c r="X90" s="117"/>
      <c r="Y90" s="117"/>
      <c r="Z90" s="117"/>
      <c r="AA90" s="117"/>
      <c r="AB90" s="117"/>
      <c r="AC90" s="117"/>
      <c r="AD90" s="18"/>
      <c r="AE90" s="40"/>
      <c r="AF90" s="117"/>
      <c r="AG90" s="117"/>
      <c r="AH90" s="45"/>
      <c r="AI90" s="44"/>
    </row>
    <row r="91" spans="1:35" s="28" customFormat="1" ht="12.75" x14ac:dyDescent="0.2">
      <c r="A91" s="77"/>
      <c r="B91" s="76"/>
      <c r="C91" s="158"/>
      <c r="D91" s="101"/>
      <c r="E91" s="77"/>
      <c r="F91" s="77"/>
      <c r="G91" s="77"/>
      <c r="H91" s="77"/>
      <c r="I91" s="77"/>
      <c r="J91" s="77"/>
      <c r="K91" s="77"/>
      <c r="L91" s="30"/>
      <c r="M91" s="27"/>
      <c r="N91" s="27"/>
      <c r="O91" s="27"/>
      <c r="P91" s="27"/>
      <c r="Q91" s="27"/>
      <c r="R91" s="27"/>
      <c r="S91" s="27"/>
      <c r="T91" s="27"/>
      <c r="U91" s="30"/>
      <c r="V91" s="40"/>
      <c r="W91" s="40"/>
      <c r="X91" s="117"/>
      <c r="Y91" s="117"/>
      <c r="Z91" s="117"/>
      <c r="AA91" s="117"/>
      <c r="AB91" s="117"/>
      <c r="AC91" s="117"/>
      <c r="AD91" s="18"/>
      <c r="AE91" s="43"/>
      <c r="AF91" s="54"/>
      <c r="AG91" s="42"/>
      <c r="AH91" s="5"/>
      <c r="AI91" s="5"/>
    </row>
    <row r="92" spans="1:35" s="28" customFormat="1" ht="12.75" x14ac:dyDescent="0.2">
      <c r="A92" s="77"/>
      <c r="B92" s="103"/>
      <c r="C92" s="104"/>
      <c r="D92" s="101"/>
      <c r="E92" s="77"/>
      <c r="F92" s="77"/>
      <c r="G92" s="77"/>
      <c r="H92" s="77"/>
      <c r="I92" s="77"/>
      <c r="J92" s="77"/>
      <c r="K92" s="77"/>
      <c r="L92" s="30"/>
      <c r="M92" s="27"/>
      <c r="N92" s="27"/>
      <c r="O92" s="27"/>
      <c r="P92" s="27"/>
      <c r="Q92" s="27"/>
      <c r="R92" s="27"/>
      <c r="S92" s="27"/>
      <c r="T92" s="27"/>
      <c r="U92" s="30"/>
      <c r="V92" s="40"/>
      <c r="W92" s="40"/>
      <c r="X92" s="117"/>
      <c r="Y92" s="117"/>
      <c r="Z92" s="117"/>
      <c r="AA92" s="117"/>
      <c r="AB92" s="117"/>
      <c r="AC92" s="117"/>
      <c r="AD92" s="18"/>
      <c r="AE92" s="41"/>
      <c r="AF92" s="41"/>
      <c r="AG92" s="41"/>
      <c r="AH92" s="41"/>
      <c r="AI92" s="41"/>
    </row>
    <row r="93" spans="1:35" s="28" customFormat="1" ht="12.75" x14ac:dyDescent="0.2">
      <c r="A93" s="77"/>
      <c r="B93" s="77"/>
      <c r="C93" s="77"/>
      <c r="D93" s="77"/>
      <c r="E93" s="77"/>
      <c r="F93" s="77"/>
      <c r="G93" s="77"/>
      <c r="H93" s="77"/>
      <c r="I93" s="77"/>
      <c r="J93" s="77"/>
      <c r="K93" s="77"/>
      <c r="L93" s="30"/>
      <c r="M93" s="27"/>
      <c r="N93" s="27"/>
      <c r="O93" s="27"/>
      <c r="P93" s="27"/>
      <c r="Q93" s="27"/>
      <c r="R93" s="27"/>
      <c r="S93" s="27"/>
      <c r="T93" s="27"/>
      <c r="U93" s="30"/>
      <c r="V93" s="40"/>
      <c r="W93" s="40"/>
      <c r="X93" s="117"/>
      <c r="Y93" s="117"/>
      <c r="Z93" s="117"/>
      <c r="AA93" s="117"/>
      <c r="AB93" s="117"/>
      <c r="AC93" s="117"/>
      <c r="AD93" s="18"/>
      <c r="AE93" s="41"/>
      <c r="AF93" s="49"/>
      <c r="AG93" s="49"/>
      <c r="AH93" s="41"/>
      <c r="AI93" s="41"/>
    </row>
    <row r="94" spans="1:35" s="28" customFormat="1" ht="12.75" x14ac:dyDescent="0.2">
      <c r="A94" s="77"/>
      <c r="B94" s="77"/>
      <c r="C94" s="77"/>
      <c r="D94" s="77"/>
      <c r="E94" s="77"/>
      <c r="F94" s="77"/>
      <c r="G94" s="77"/>
      <c r="H94" s="77"/>
      <c r="I94" s="77"/>
      <c r="J94" s="77"/>
      <c r="K94" s="77"/>
      <c r="L94" s="30"/>
      <c r="M94" s="27"/>
      <c r="N94" s="27"/>
      <c r="O94" s="27"/>
      <c r="P94" s="27"/>
      <c r="Q94" s="27"/>
      <c r="R94" s="27"/>
      <c r="S94" s="27"/>
      <c r="T94" s="27"/>
      <c r="U94" s="30"/>
      <c r="V94" s="40"/>
      <c r="W94" s="40"/>
      <c r="X94" s="117"/>
      <c r="Y94" s="117"/>
      <c r="Z94" s="117"/>
      <c r="AA94" s="117"/>
      <c r="AB94" s="117"/>
      <c r="AC94" s="117"/>
      <c r="AD94" s="18"/>
      <c r="AE94" s="41"/>
      <c r="AF94" s="49"/>
      <c r="AG94" s="49"/>
      <c r="AH94" s="41"/>
      <c r="AI94" s="41"/>
    </row>
    <row r="95" spans="1:35" s="28" customFormat="1" ht="12.75" x14ac:dyDescent="0.2">
      <c r="A95" s="79"/>
      <c r="B95" s="80"/>
      <c r="C95" s="77"/>
      <c r="D95" s="77"/>
      <c r="E95" s="73"/>
      <c r="F95" s="73"/>
      <c r="G95" s="73"/>
      <c r="H95" s="81"/>
      <c r="I95" s="77"/>
      <c r="J95" s="77"/>
      <c r="K95" s="73"/>
      <c r="L95" s="30"/>
      <c r="M95" s="27"/>
      <c r="N95" s="27"/>
      <c r="O95" s="27"/>
      <c r="P95" s="27"/>
      <c r="Q95" s="27"/>
      <c r="R95" s="27"/>
      <c r="S95" s="27"/>
      <c r="T95" s="27"/>
      <c r="U95" s="30"/>
      <c r="V95" s="40"/>
      <c r="W95" s="40"/>
      <c r="X95" s="117"/>
      <c r="Y95" s="117"/>
      <c r="Z95" s="117"/>
      <c r="AA95" s="117"/>
      <c r="AB95" s="117"/>
      <c r="AC95" s="117"/>
      <c r="AD95" s="18"/>
      <c r="AE95" s="41"/>
      <c r="AF95" s="49"/>
      <c r="AG95" s="49"/>
      <c r="AH95" s="41"/>
      <c r="AI95" s="41"/>
    </row>
    <row r="96" spans="1:35" s="28" customFormat="1" ht="12.75" x14ac:dyDescent="0.2">
      <c r="A96" s="79"/>
      <c r="B96" s="76"/>
      <c r="C96" s="78"/>
      <c r="D96" s="73"/>
      <c r="E96" s="73"/>
      <c r="F96" s="82"/>
      <c r="G96" s="73"/>
      <c r="H96" s="82"/>
      <c r="I96" s="77"/>
      <c r="J96" s="77"/>
      <c r="K96" s="73"/>
      <c r="L96" s="30"/>
      <c r="M96" s="27"/>
      <c r="N96" s="27"/>
      <c r="O96" s="27"/>
      <c r="P96" s="27"/>
      <c r="Q96" s="27"/>
      <c r="R96" s="27"/>
      <c r="S96" s="27"/>
      <c r="T96" s="27"/>
      <c r="U96" s="30"/>
      <c r="V96" s="40"/>
      <c r="W96" s="40"/>
      <c r="X96" s="117"/>
      <c r="Y96" s="117"/>
      <c r="Z96" s="117"/>
      <c r="AA96" s="117"/>
      <c r="AB96" s="117"/>
      <c r="AC96" s="117"/>
      <c r="AD96" s="18"/>
      <c r="AE96" s="41"/>
      <c r="AF96" s="49"/>
      <c r="AG96" s="49"/>
      <c r="AH96" s="41"/>
      <c r="AI96" s="41"/>
    </row>
    <row r="97" spans="1:35" s="28" customFormat="1" ht="12.75" x14ac:dyDescent="0.2">
      <c r="A97" s="73"/>
      <c r="B97" s="76"/>
      <c r="C97" s="73"/>
      <c r="D97" s="73"/>
      <c r="E97" s="73"/>
      <c r="F97" s="82"/>
      <c r="G97" s="73"/>
      <c r="H97" s="82"/>
      <c r="I97" s="77"/>
      <c r="J97" s="77"/>
      <c r="K97" s="73"/>
      <c r="L97" s="30"/>
      <c r="M97" s="27"/>
      <c r="N97" s="27"/>
      <c r="O97" s="27"/>
      <c r="P97" s="27"/>
      <c r="Q97" s="27"/>
      <c r="R97" s="27"/>
      <c r="S97" s="27"/>
      <c r="T97" s="27"/>
      <c r="U97" s="30"/>
      <c r="V97" s="40"/>
      <c r="W97" s="40"/>
      <c r="X97" s="117"/>
      <c r="Y97" s="117"/>
      <c r="Z97" s="117"/>
      <c r="AA97" s="117"/>
      <c r="AB97" s="117"/>
      <c r="AC97" s="117"/>
      <c r="AD97" s="18"/>
      <c r="AE97" s="5"/>
      <c r="AF97" s="49"/>
      <c r="AG97" s="49"/>
      <c r="AH97" s="5"/>
      <c r="AI97" s="5"/>
    </row>
    <row r="98" spans="1:35" s="28" customFormat="1" ht="12.75" x14ac:dyDescent="0.2">
      <c r="A98" s="79"/>
      <c r="B98" s="80"/>
      <c r="C98" s="81"/>
      <c r="D98" s="73"/>
      <c r="E98" s="73"/>
      <c r="F98" s="84"/>
      <c r="G98" s="73"/>
      <c r="H98" s="84"/>
      <c r="I98" s="77"/>
      <c r="J98" s="77"/>
      <c r="K98" s="73"/>
      <c r="L98" s="30"/>
      <c r="M98" s="27"/>
      <c r="N98" s="27"/>
      <c r="O98" s="27"/>
      <c r="P98" s="27"/>
      <c r="Q98" s="27"/>
      <c r="R98" s="27"/>
      <c r="S98" s="27"/>
      <c r="T98" s="27"/>
      <c r="U98" s="30"/>
      <c r="V98" s="40"/>
      <c r="W98" s="40"/>
      <c r="X98" s="117"/>
      <c r="Y98" s="117"/>
      <c r="Z98" s="117"/>
      <c r="AA98" s="117"/>
      <c r="AB98" s="117"/>
      <c r="AC98" s="117"/>
      <c r="AD98" s="18"/>
      <c r="AE98" s="5"/>
      <c r="AF98" s="49"/>
      <c r="AG98" s="49"/>
      <c r="AH98" s="5"/>
      <c r="AI98" s="51"/>
    </row>
    <row r="99" spans="1:35" s="28" customFormat="1" ht="12.75" x14ac:dyDescent="0.2">
      <c r="A99" s="79"/>
      <c r="B99" s="80"/>
      <c r="C99" s="79"/>
      <c r="D99" s="76"/>
      <c r="E99" s="73"/>
      <c r="F99" s="84"/>
      <c r="G99" s="73"/>
      <c r="H99" s="84"/>
      <c r="I99" s="77"/>
      <c r="J99" s="77"/>
      <c r="K99" s="73"/>
      <c r="L99" s="30"/>
      <c r="M99" s="27"/>
      <c r="N99" s="27"/>
      <c r="O99" s="27"/>
      <c r="P99" s="27"/>
      <c r="Q99" s="27"/>
      <c r="R99" s="27"/>
      <c r="S99" s="27"/>
      <c r="T99" s="27"/>
      <c r="U99" s="30"/>
      <c r="V99" s="40"/>
      <c r="W99" s="40"/>
      <c r="X99" s="117"/>
      <c r="Y99" s="117"/>
      <c r="Z99" s="117"/>
      <c r="AA99" s="117"/>
      <c r="AB99" s="117"/>
      <c r="AC99" s="117"/>
      <c r="AD99" s="18"/>
      <c r="AE99" s="5"/>
      <c r="AF99" s="49"/>
      <c r="AG99" s="49"/>
      <c r="AH99" s="5"/>
      <c r="AI99" s="51"/>
    </row>
    <row r="100" spans="1:35" s="28" customFormat="1" ht="12.75" x14ac:dyDescent="0.2">
      <c r="A100" s="79"/>
      <c r="B100" s="77"/>
      <c r="C100" s="77"/>
      <c r="D100" s="77"/>
      <c r="E100" s="73"/>
      <c r="F100" s="84"/>
      <c r="G100" s="73"/>
      <c r="H100" s="84"/>
      <c r="I100" s="77"/>
      <c r="J100" s="77"/>
      <c r="K100" s="79"/>
      <c r="L100" s="30"/>
      <c r="M100" s="27"/>
      <c r="N100" s="27"/>
      <c r="O100" s="27"/>
      <c r="P100" s="27"/>
      <c r="Q100" s="27"/>
      <c r="R100" s="27"/>
      <c r="S100" s="27"/>
      <c r="T100" s="27"/>
      <c r="U100" s="30"/>
      <c r="V100" s="40"/>
      <c r="W100" s="40"/>
      <c r="X100" s="117"/>
      <c r="Y100" s="117"/>
      <c r="Z100" s="117"/>
      <c r="AA100" s="117"/>
      <c r="AB100" s="117"/>
      <c r="AC100" s="117"/>
      <c r="AD100" s="18"/>
      <c r="AE100" s="5"/>
      <c r="AF100" s="5"/>
      <c r="AG100" s="5"/>
      <c r="AH100" s="5"/>
      <c r="AI100" s="51"/>
    </row>
    <row r="101" spans="1:35" s="28" customFormat="1" ht="12.75" x14ac:dyDescent="0.2">
      <c r="A101" s="79"/>
      <c r="B101" s="77"/>
      <c r="C101" s="77"/>
      <c r="D101" s="77"/>
      <c r="E101" s="73"/>
      <c r="F101" s="84"/>
      <c r="G101" s="73"/>
      <c r="H101" s="84"/>
      <c r="I101" s="77"/>
      <c r="J101" s="77"/>
      <c r="K101" s="79"/>
      <c r="L101" s="30"/>
      <c r="M101" s="27"/>
      <c r="N101" s="27"/>
      <c r="O101" s="27"/>
      <c r="P101" s="27"/>
      <c r="Q101" s="27"/>
      <c r="R101" s="27"/>
      <c r="S101" s="27"/>
      <c r="T101" s="27"/>
      <c r="U101" s="30"/>
      <c r="V101" s="40"/>
      <c r="W101" s="40"/>
      <c r="X101" s="117"/>
      <c r="Y101" s="117"/>
      <c r="Z101" s="117"/>
      <c r="AA101" s="117"/>
      <c r="AB101" s="117"/>
      <c r="AC101" s="117"/>
      <c r="AD101" s="18"/>
      <c r="AE101" s="5"/>
      <c r="AF101" s="5"/>
      <c r="AG101" s="5"/>
      <c r="AH101" s="5"/>
      <c r="AI101" s="51"/>
    </row>
    <row r="102" spans="1:35" s="28" customFormat="1" ht="12.75" x14ac:dyDescent="0.2">
      <c r="A102" s="73"/>
      <c r="B102" s="77"/>
      <c r="C102" s="77"/>
      <c r="D102" s="77"/>
      <c r="E102" s="73"/>
      <c r="F102" s="73"/>
      <c r="G102" s="73"/>
      <c r="H102" s="73"/>
      <c r="I102" s="73"/>
      <c r="J102" s="73"/>
      <c r="K102" s="73"/>
      <c r="L102" s="30"/>
      <c r="M102" s="27"/>
      <c r="N102" s="27"/>
      <c r="O102" s="27"/>
      <c r="P102" s="27"/>
      <c r="Q102" s="27"/>
      <c r="R102" s="27"/>
      <c r="S102" s="27"/>
      <c r="T102" s="27"/>
      <c r="U102" s="30"/>
      <c r="V102" s="40"/>
      <c r="W102" s="40"/>
      <c r="X102" s="117"/>
      <c r="Y102" s="117"/>
      <c r="Z102" s="117"/>
      <c r="AA102" s="117"/>
      <c r="AB102" s="117"/>
      <c r="AC102" s="117"/>
      <c r="AD102" s="18"/>
      <c r="AE102" s="5"/>
      <c r="AF102" s="5"/>
      <c r="AG102" s="5"/>
      <c r="AH102" s="5"/>
      <c r="AI102" s="5"/>
    </row>
    <row r="103" spans="1:35" s="28" customFormat="1" ht="12.75" x14ac:dyDescent="0.2">
      <c r="A103" s="73"/>
      <c r="B103" s="77"/>
      <c r="C103" s="77"/>
      <c r="D103" s="77"/>
      <c r="E103" s="73"/>
      <c r="F103" s="73"/>
      <c r="G103" s="73"/>
      <c r="H103" s="73"/>
      <c r="I103" s="73"/>
      <c r="J103" s="73"/>
      <c r="K103" s="73"/>
      <c r="L103" s="30"/>
      <c r="M103" s="27"/>
      <c r="N103" s="27"/>
      <c r="O103" s="27"/>
      <c r="P103" s="27"/>
      <c r="Q103" s="27"/>
      <c r="R103" s="27"/>
      <c r="S103" s="27"/>
      <c r="T103" s="27"/>
      <c r="U103" s="30"/>
      <c r="V103" s="40"/>
      <c r="W103" s="40"/>
      <c r="X103" s="117"/>
      <c r="Y103" s="117"/>
      <c r="Z103" s="117"/>
      <c r="AA103" s="117"/>
      <c r="AB103" s="117"/>
      <c r="AC103" s="117"/>
      <c r="AD103" s="18"/>
      <c r="AE103" s="5"/>
      <c r="AF103" s="5"/>
      <c r="AG103" s="5"/>
      <c r="AH103" s="51"/>
      <c r="AI103" s="5"/>
    </row>
    <row r="104" spans="1:35" s="28" customFormat="1" ht="12.75" x14ac:dyDescent="0.2">
      <c r="A104" s="80"/>
      <c r="B104" s="80"/>
      <c r="C104" s="163"/>
      <c r="D104" s="77"/>
      <c r="E104" s="73"/>
      <c r="F104" s="73"/>
      <c r="G104" s="73"/>
      <c r="H104" s="73"/>
      <c r="I104" s="73"/>
      <c r="J104" s="73"/>
      <c r="K104" s="73"/>
      <c r="L104" s="30"/>
      <c r="M104" s="27"/>
      <c r="N104" s="27"/>
      <c r="O104" s="27"/>
      <c r="P104" s="27"/>
      <c r="Q104" s="27"/>
      <c r="R104" s="27"/>
      <c r="S104" s="27"/>
      <c r="T104" s="27"/>
      <c r="U104" s="30"/>
      <c r="V104" s="40"/>
      <c r="W104" s="40"/>
      <c r="X104" s="117"/>
      <c r="Y104" s="117"/>
      <c r="Z104" s="117"/>
      <c r="AA104" s="117"/>
      <c r="AB104" s="117"/>
      <c r="AC104" s="117"/>
      <c r="AD104" s="18"/>
      <c r="AE104" s="5"/>
      <c r="AF104" s="5"/>
      <c r="AG104" s="5"/>
      <c r="AH104" s="5"/>
      <c r="AI104" s="5"/>
    </row>
    <row r="105" spans="1:35" s="28" customFormat="1" ht="12.75" x14ac:dyDescent="0.2">
      <c r="A105" s="76"/>
      <c r="B105" s="76"/>
      <c r="C105" s="89"/>
      <c r="D105" s="88"/>
      <c r="E105" s="73"/>
      <c r="F105" s="76"/>
      <c r="G105" s="78"/>
      <c r="H105" s="73"/>
      <c r="I105" s="77"/>
      <c r="J105" s="73"/>
      <c r="K105" s="73"/>
      <c r="L105" s="30"/>
      <c r="M105" s="27"/>
      <c r="N105" s="27"/>
      <c r="O105" s="27"/>
      <c r="P105" s="27"/>
      <c r="Q105" s="27"/>
      <c r="R105" s="27"/>
      <c r="S105" s="27"/>
      <c r="T105" s="27"/>
      <c r="U105" s="30"/>
      <c r="V105" s="40"/>
      <c r="W105" s="40"/>
      <c r="X105" s="30"/>
      <c r="Y105" s="52"/>
      <c r="Z105" s="52"/>
      <c r="AA105" s="52"/>
      <c r="AB105" s="52"/>
      <c r="AC105" s="52"/>
      <c r="AD105" s="5"/>
      <c r="AE105" s="5"/>
      <c r="AF105" s="5"/>
      <c r="AG105" s="5"/>
      <c r="AH105" s="5"/>
      <c r="AI105" s="5"/>
    </row>
    <row r="106" spans="1:35" s="28" customFormat="1" ht="12.75" x14ac:dyDescent="0.2">
      <c r="A106" s="80"/>
      <c r="B106" s="77"/>
      <c r="C106" s="77"/>
      <c r="D106" s="88"/>
      <c r="E106" s="73"/>
      <c r="F106" s="76"/>
      <c r="G106" s="73"/>
      <c r="H106" s="73"/>
      <c r="I106" s="77"/>
      <c r="J106" s="81"/>
      <c r="K106" s="81"/>
      <c r="L106" s="30"/>
      <c r="M106" s="27"/>
      <c r="N106" s="27"/>
      <c r="O106" s="27"/>
      <c r="P106" s="27"/>
      <c r="Q106" s="27"/>
      <c r="R106" s="27"/>
      <c r="S106" s="27"/>
      <c r="T106" s="27"/>
      <c r="U106" s="30"/>
      <c r="V106" s="40"/>
      <c r="W106" s="40"/>
      <c r="X106" s="30"/>
      <c r="Y106" s="52"/>
      <c r="Z106" s="18"/>
      <c r="AA106" s="41"/>
      <c r="AB106" s="5"/>
      <c r="AC106" s="5"/>
      <c r="AD106" s="5"/>
      <c r="AE106" s="5"/>
      <c r="AF106" s="5"/>
      <c r="AG106" s="5"/>
      <c r="AH106" s="5"/>
      <c r="AI106" s="5"/>
    </row>
    <row r="107" spans="1:35" s="28" customFormat="1" ht="12.75" x14ac:dyDescent="0.2">
      <c r="A107" s="80"/>
      <c r="C107" s="77"/>
      <c r="D107" s="77"/>
      <c r="E107" s="77" t="s">
        <v>179</v>
      </c>
      <c r="F107" s="73"/>
      <c r="G107" s="80"/>
      <c r="H107" s="81"/>
      <c r="I107" s="77"/>
      <c r="J107" s="81"/>
      <c r="K107" s="81"/>
      <c r="L107" s="30"/>
      <c r="M107" s="27"/>
      <c r="N107" s="27"/>
      <c r="O107" s="27"/>
      <c r="P107" s="27"/>
      <c r="Q107" s="27"/>
      <c r="R107" s="27"/>
      <c r="S107" s="27"/>
      <c r="T107" s="27"/>
      <c r="U107" s="30"/>
      <c r="V107" s="40"/>
      <c r="W107" s="40"/>
      <c r="X107" s="30"/>
      <c r="Y107" s="18"/>
      <c r="Z107" s="51"/>
      <c r="AA107" s="55"/>
      <c r="AB107" s="51"/>
      <c r="AC107" s="5"/>
      <c r="AD107" s="5"/>
      <c r="AE107" s="5"/>
      <c r="AF107" s="5"/>
      <c r="AG107" s="5"/>
      <c r="AH107" s="5"/>
      <c r="AI107" s="5"/>
    </row>
    <row r="108" spans="1:35" s="28" customFormat="1" ht="12.75" x14ac:dyDescent="0.2">
      <c r="A108" s="73"/>
      <c r="C108" s="77"/>
      <c r="D108" s="77"/>
      <c r="E108" s="77" t="s">
        <v>180</v>
      </c>
      <c r="F108" s="80"/>
      <c r="G108" s="77"/>
      <c r="H108" s="77"/>
      <c r="I108" s="73"/>
      <c r="J108" s="73"/>
      <c r="K108" s="73"/>
      <c r="L108" s="30"/>
      <c r="M108" s="27"/>
      <c r="N108" s="27"/>
      <c r="O108" s="27"/>
      <c r="P108" s="27"/>
      <c r="Q108" s="27"/>
      <c r="R108" s="27"/>
      <c r="S108" s="27"/>
      <c r="T108" s="27"/>
      <c r="U108" s="30"/>
      <c r="V108" s="40"/>
      <c r="W108" s="40"/>
      <c r="X108" s="30"/>
      <c r="Y108" s="18"/>
      <c r="Z108" s="5"/>
      <c r="AA108" s="41"/>
      <c r="AB108" s="5"/>
      <c r="AC108" s="5"/>
      <c r="AD108" s="5"/>
      <c r="AE108" s="5"/>
      <c r="AF108" s="5"/>
      <c r="AG108" s="5"/>
      <c r="AH108" s="5"/>
      <c r="AI108" s="5"/>
    </row>
    <row r="109" spans="1:35" s="28" customFormat="1" ht="12.75" x14ac:dyDescent="0.2">
      <c r="A109" s="73"/>
      <c r="B109" s="76"/>
      <c r="C109" s="77"/>
      <c r="D109" s="73"/>
      <c r="E109" s="76"/>
      <c r="F109" s="111"/>
      <c r="G109" s="110"/>
      <c r="H109" s="77"/>
      <c r="I109" s="73"/>
      <c r="J109" s="73"/>
      <c r="K109" s="73"/>
      <c r="L109" s="30"/>
      <c r="M109" s="27"/>
      <c r="N109" s="27"/>
      <c r="O109" s="27"/>
      <c r="P109" s="27"/>
      <c r="Q109" s="27"/>
      <c r="R109" s="27"/>
      <c r="S109" s="27"/>
      <c r="T109" s="27"/>
      <c r="U109" s="30"/>
      <c r="V109" s="40"/>
      <c r="W109" s="40"/>
      <c r="X109" s="30"/>
      <c r="Y109" s="5"/>
      <c r="Z109" s="5"/>
      <c r="AA109" s="5"/>
      <c r="AB109" s="5"/>
      <c r="AC109" s="5"/>
      <c r="AD109" s="5"/>
      <c r="AE109" s="5"/>
      <c r="AF109" s="5"/>
      <c r="AG109" s="5"/>
      <c r="AH109" s="5"/>
      <c r="AI109" s="5"/>
    </row>
    <row r="110" spans="1:35" s="28" customFormat="1" ht="12.75" x14ac:dyDescent="0.2">
      <c r="A110" s="73"/>
      <c r="C110" s="95"/>
      <c r="D110" s="110"/>
      <c r="E110" s="80" t="s">
        <v>225</v>
      </c>
      <c r="F110" s="158">
        <f>AO51</f>
        <v>708.65051903114193</v>
      </c>
      <c r="G110" s="73" t="s">
        <v>143</v>
      </c>
      <c r="H110" s="77"/>
      <c r="I110" s="73"/>
      <c r="J110" s="73"/>
      <c r="K110" s="73"/>
      <c r="L110" s="30"/>
      <c r="M110" s="27"/>
      <c r="N110" s="27"/>
      <c r="O110" s="27"/>
      <c r="P110" s="27"/>
      <c r="Q110" s="27"/>
      <c r="R110" s="27"/>
      <c r="S110" s="27"/>
      <c r="T110" s="27"/>
      <c r="U110" s="30"/>
      <c r="V110" s="40"/>
      <c r="W110" s="40"/>
      <c r="X110" s="30"/>
    </row>
    <row r="111" spans="1:35" s="28" customFormat="1" ht="12.75" x14ac:dyDescent="0.2">
      <c r="A111" s="73"/>
      <c r="C111" s="77"/>
      <c r="D111" s="77"/>
      <c r="E111" s="80" t="s">
        <v>227</v>
      </c>
      <c r="F111" s="158">
        <f>AP51</f>
        <v>-797.87632676890667</v>
      </c>
      <c r="G111" s="73" t="s">
        <v>183</v>
      </c>
      <c r="H111" s="77"/>
      <c r="I111" s="73"/>
      <c r="J111" s="73"/>
      <c r="K111" s="73"/>
      <c r="L111" s="30"/>
      <c r="M111" s="27"/>
      <c r="N111" s="27"/>
      <c r="O111" s="27"/>
      <c r="P111" s="27"/>
      <c r="Q111" s="27"/>
      <c r="R111" s="27"/>
      <c r="S111" s="27"/>
      <c r="T111" s="27"/>
      <c r="U111" s="30"/>
      <c r="V111" s="40"/>
      <c r="W111" s="40"/>
      <c r="X111" s="30"/>
    </row>
    <row r="112" spans="1:35" s="28" customFormat="1" ht="12.75" x14ac:dyDescent="0.2">
      <c r="A112" s="73"/>
      <c r="C112" s="77"/>
      <c r="D112" s="77"/>
      <c r="E112" s="80"/>
      <c r="F112" s="158"/>
      <c r="G112" s="73"/>
      <c r="H112" s="77"/>
      <c r="I112" s="73"/>
      <c r="J112" s="73"/>
      <c r="K112" s="73"/>
      <c r="L112" s="30"/>
      <c r="M112" s="27"/>
      <c r="N112" s="27"/>
      <c r="O112" s="27"/>
      <c r="P112" s="27"/>
      <c r="Q112" s="27"/>
      <c r="R112" s="27"/>
      <c r="S112" s="27"/>
      <c r="T112" s="27"/>
      <c r="U112" s="30"/>
      <c r="V112" s="40"/>
      <c r="W112" s="40"/>
      <c r="X112" s="30"/>
    </row>
    <row r="113" spans="1:24" s="28" customFormat="1" ht="12.75" x14ac:dyDescent="0.2">
      <c r="A113" s="73"/>
      <c r="C113" s="77"/>
      <c r="D113" s="77"/>
      <c r="E113" s="80"/>
      <c r="F113" s="158"/>
      <c r="G113" s="73"/>
      <c r="H113" s="77"/>
      <c r="I113" s="73"/>
      <c r="J113" s="73"/>
      <c r="K113" s="73"/>
      <c r="L113" s="30"/>
      <c r="M113" s="27"/>
      <c r="N113" s="27"/>
      <c r="O113" s="27"/>
      <c r="P113" s="27"/>
      <c r="Q113" s="27"/>
      <c r="R113" s="27"/>
      <c r="S113" s="27"/>
      <c r="T113" s="27"/>
      <c r="U113" s="30"/>
      <c r="V113" s="40"/>
      <c r="W113" s="40"/>
      <c r="X113" s="30"/>
    </row>
    <row r="114" spans="1:24" s="28" customFormat="1" ht="12.75" x14ac:dyDescent="0.2">
      <c r="L114" s="30"/>
      <c r="M114" s="27"/>
      <c r="N114" s="27"/>
      <c r="O114" s="27"/>
      <c r="P114" s="27"/>
      <c r="Q114" s="27"/>
      <c r="R114" s="27"/>
      <c r="S114" s="27"/>
      <c r="T114" s="27"/>
      <c r="U114" s="30"/>
      <c r="V114" s="56"/>
      <c r="W114" s="40"/>
      <c r="X114" s="30"/>
    </row>
    <row r="115" spans="1:24" s="28" customFormat="1" ht="12.75" x14ac:dyDescent="0.2">
      <c r="A115" s="5"/>
      <c r="B115" s="46"/>
      <c r="C115" s="53"/>
      <c r="D115" s="43"/>
      <c r="E115" s="49"/>
      <c r="F115" s="40"/>
      <c r="G115" s="5"/>
      <c r="H115" s="49"/>
      <c r="I115" s="40"/>
      <c r="J115" s="47"/>
      <c r="K115" s="47"/>
      <c r="L115" s="30"/>
      <c r="M115" s="27"/>
      <c r="N115" s="27"/>
      <c r="O115" s="27"/>
      <c r="P115" s="27"/>
      <c r="Q115" s="27"/>
      <c r="R115" s="27"/>
      <c r="S115" s="27"/>
      <c r="T115" s="27"/>
      <c r="U115" s="30"/>
      <c r="V115" s="5"/>
      <c r="W115" s="5"/>
      <c r="X115" s="30"/>
    </row>
    <row r="116" spans="1:24" s="28" customFormat="1" ht="12.75" x14ac:dyDescent="0.2">
      <c r="A116" s="58"/>
      <c r="B116" s="59"/>
      <c r="C116" s="60"/>
      <c r="D116" s="58"/>
      <c r="E116" s="58"/>
      <c r="F116" s="58"/>
      <c r="G116" s="60"/>
      <c r="H116" s="58"/>
      <c r="I116" s="58"/>
      <c r="J116" s="58"/>
      <c r="K116" s="58"/>
      <c r="L116" s="30"/>
      <c r="M116" s="27"/>
      <c r="N116" s="27"/>
      <c r="O116" s="27"/>
      <c r="P116" s="27"/>
      <c r="Q116" s="27"/>
      <c r="R116" s="27"/>
      <c r="S116" s="27"/>
      <c r="T116" s="27"/>
      <c r="U116" s="30"/>
      <c r="V116" s="30"/>
      <c r="W116" s="30"/>
      <c r="X116" s="30"/>
    </row>
    <row r="117" spans="1:24" s="28" customFormat="1" ht="12.75" x14ac:dyDescent="0.2">
      <c r="A117" s="58"/>
      <c r="B117" s="59"/>
      <c r="C117" s="60"/>
      <c r="D117" s="58"/>
      <c r="E117" s="58"/>
      <c r="F117" s="58"/>
      <c r="G117" s="60"/>
      <c r="H117" s="58"/>
      <c r="I117" s="58"/>
      <c r="J117" s="58"/>
      <c r="K117" s="58"/>
      <c r="L117" s="30"/>
      <c r="M117" s="27"/>
      <c r="N117" s="27"/>
      <c r="O117" s="27"/>
      <c r="P117" s="27"/>
      <c r="Q117" s="27"/>
      <c r="R117" s="27"/>
      <c r="S117" s="27"/>
      <c r="T117" s="27"/>
      <c r="U117" s="30"/>
      <c r="V117" s="30"/>
      <c r="W117" s="30"/>
      <c r="X117" s="30"/>
    </row>
    <row r="118" spans="1:24" s="28" customFormat="1" ht="12.75" x14ac:dyDescent="0.2">
      <c r="A118" s="58"/>
      <c r="B118" s="59"/>
      <c r="C118" s="60"/>
      <c r="D118" s="58"/>
      <c r="E118" s="58"/>
      <c r="F118" s="58"/>
      <c r="G118" s="60"/>
      <c r="H118" s="58"/>
      <c r="I118" s="58"/>
      <c r="J118" s="58"/>
      <c r="K118" s="58"/>
      <c r="L118" s="30"/>
      <c r="M118" s="27"/>
      <c r="N118" s="27"/>
      <c r="O118" s="27"/>
      <c r="P118" s="27"/>
      <c r="Q118" s="27"/>
      <c r="R118" s="27"/>
      <c r="S118" s="27"/>
      <c r="T118" s="27"/>
      <c r="U118" s="30"/>
      <c r="V118" s="30"/>
      <c r="W118" s="30"/>
      <c r="X118" s="30"/>
    </row>
    <row r="119" spans="1:24" s="28" customFormat="1" ht="12.75" x14ac:dyDescent="0.2">
      <c r="A119" s="58"/>
      <c r="B119" s="59"/>
      <c r="C119" s="60"/>
      <c r="D119" s="58"/>
      <c r="E119" s="58"/>
      <c r="F119" s="58"/>
      <c r="G119" s="60"/>
      <c r="H119" s="58"/>
      <c r="I119" s="58"/>
      <c r="J119" s="58"/>
      <c r="K119" s="58"/>
      <c r="L119" s="30"/>
      <c r="M119" s="27"/>
      <c r="N119" s="27"/>
      <c r="O119" s="27"/>
      <c r="P119" s="27"/>
      <c r="Q119" s="27"/>
      <c r="R119" s="27"/>
      <c r="S119" s="27"/>
      <c r="T119" s="27"/>
      <c r="U119" s="30"/>
      <c r="V119" s="30"/>
      <c r="W119" s="30"/>
      <c r="X119" s="30"/>
    </row>
    <row r="120" spans="1:24" s="28" customFormat="1" ht="12.75" x14ac:dyDescent="0.2">
      <c r="A120" s="58"/>
      <c r="B120" s="59"/>
      <c r="C120" s="60"/>
      <c r="D120" s="58"/>
      <c r="E120" s="58"/>
      <c r="F120" s="58"/>
      <c r="G120" s="60"/>
      <c r="H120" s="58"/>
      <c r="I120" s="58"/>
      <c r="J120" s="58"/>
      <c r="K120" s="58"/>
      <c r="L120" s="30"/>
      <c r="M120" s="27"/>
      <c r="N120" s="27"/>
      <c r="O120" s="27"/>
      <c r="P120" s="27"/>
      <c r="Q120" s="27"/>
      <c r="R120" s="27"/>
      <c r="S120" s="27"/>
      <c r="T120" s="27"/>
      <c r="U120" s="30"/>
      <c r="V120" s="30"/>
      <c r="W120" s="30"/>
      <c r="X120" s="30"/>
    </row>
    <row r="121" spans="1:24" s="28" customFormat="1" ht="12.75" x14ac:dyDescent="0.2">
      <c r="A121" s="58"/>
      <c r="B121" s="59"/>
      <c r="C121" s="60"/>
      <c r="D121" s="58"/>
      <c r="E121" s="58"/>
      <c r="F121" s="58"/>
      <c r="G121" s="60"/>
      <c r="H121" s="58"/>
      <c r="I121" s="58"/>
      <c r="J121" s="58"/>
      <c r="K121" s="58"/>
      <c r="L121" s="30"/>
      <c r="M121" s="27"/>
      <c r="N121" s="27"/>
      <c r="O121" s="27"/>
      <c r="P121" s="27"/>
      <c r="Q121" s="27"/>
      <c r="R121" s="27"/>
      <c r="S121" s="27"/>
      <c r="T121" s="27"/>
      <c r="U121" s="30"/>
      <c r="V121" s="30"/>
      <c r="W121" s="30"/>
      <c r="X121" s="30"/>
    </row>
    <row r="122" spans="1:24" s="28" customFormat="1" ht="12.75" x14ac:dyDescent="0.2">
      <c r="A122" s="145" t="s">
        <v>118</v>
      </c>
      <c r="B122" s="146"/>
      <c r="C122" s="146"/>
      <c r="D122" s="146"/>
      <c r="E122" s="146"/>
      <c r="F122" s="146"/>
      <c r="G122" s="147"/>
      <c r="H122" s="147"/>
      <c r="I122" s="147"/>
      <c r="J122" s="147"/>
      <c r="K122" s="148"/>
      <c r="L122" s="30"/>
      <c r="M122" s="27"/>
      <c r="N122" s="27"/>
      <c r="O122" s="27"/>
      <c r="P122" s="27"/>
      <c r="Q122" s="27"/>
      <c r="R122" s="27"/>
      <c r="S122" s="27"/>
      <c r="T122" s="27"/>
      <c r="U122" s="30"/>
      <c r="V122" s="30"/>
      <c r="W122" s="30"/>
      <c r="X122" s="30"/>
    </row>
    <row r="123" spans="1:24" s="28" customFormat="1" ht="12.75" x14ac:dyDescent="0.2">
      <c r="A123" s="149"/>
      <c r="B123" s="149"/>
      <c r="C123" s="149"/>
      <c r="D123" s="150"/>
      <c r="E123" s="150"/>
      <c r="F123" s="151" t="s">
        <v>119</v>
      </c>
      <c r="G123" s="152" t="s">
        <v>120</v>
      </c>
      <c r="H123" s="153"/>
      <c r="I123" s="154"/>
      <c r="J123" s="154"/>
      <c r="K123" s="155"/>
      <c r="L123" s="30"/>
      <c r="M123" s="27"/>
      <c r="N123" s="27"/>
      <c r="O123" s="27"/>
      <c r="P123" s="27"/>
      <c r="Q123" s="27"/>
      <c r="R123" s="27"/>
      <c r="S123" s="27"/>
      <c r="T123" s="27"/>
      <c r="U123" s="30"/>
      <c r="V123" s="30"/>
      <c r="W123" s="30"/>
      <c r="X123" s="30"/>
    </row>
    <row r="124" spans="1:24" s="5" customFormat="1" ht="12.75" x14ac:dyDescent="0.2">
      <c r="A124" s="14"/>
      <c r="E124" s="7" t="s">
        <v>1</v>
      </c>
      <c r="F124" s="8" t="str">
        <f>$C$1</f>
        <v>R. Abbott</v>
      </c>
      <c r="H124" s="15"/>
      <c r="I124" s="7" t="s">
        <v>8</v>
      </c>
      <c r="J124" s="16" t="str">
        <f>$G$2</f>
        <v>AA-SM-515-000</v>
      </c>
      <c r="K124" s="17"/>
      <c r="L124" s="18"/>
      <c r="M124" s="9"/>
      <c r="N124" s="9"/>
      <c r="O124" s="9"/>
      <c r="P124" s="9"/>
      <c r="Q124" s="11"/>
      <c r="R124" s="12"/>
      <c r="S124" s="36"/>
      <c r="T124" s="35"/>
    </row>
    <row r="125" spans="1:24" s="5" customFormat="1" ht="12.75" x14ac:dyDescent="0.2">
      <c r="E125" s="7" t="s">
        <v>2</v>
      </c>
      <c r="F125" s="15" t="str">
        <f>$C$2</f>
        <v xml:space="preserve"> </v>
      </c>
      <c r="H125" s="15"/>
      <c r="I125" s="7" t="s">
        <v>9</v>
      </c>
      <c r="J125" s="17" t="str">
        <f>$G$3</f>
        <v>IR</v>
      </c>
      <c r="K125" s="17"/>
      <c r="L125" s="18"/>
      <c r="M125" s="9">
        <v>1</v>
      </c>
      <c r="N125" s="9"/>
      <c r="O125" s="9"/>
      <c r="P125" s="9"/>
      <c r="Q125" s="11"/>
      <c r="R125" s="12"/>
      <c r="S125" s="36"/>
      <c r="T125" s="35"/>
    </row>
    <row r="126" spans="1:24" s="5" customFormat="1" ht="12.75" x14ac:dyDescent="0.2">
      <c r="E126" s="7" t="s">
        <v>3</v>
      </c>
      <c r="F126" s="15" t="str">
        <f>$C$3</f>
        <v>05/03/2017</v>
      </c>
      <c r="H126" s="15"/>
      <c r="I126" s="7" t="s">
        <v>6</v>
      </c>
      <c r="J126" s="8" t="str">
        <f>L126&amp;" of "&amp;$G$1</f>
        <v>17 of 17</v>
      </c>
      <c r="K126" s="15"/>
      <c r="L126" s="18">
        <f>SUM($M$1:M125)</f>
        <v>17</v>
      </c>
      <c r="M126" s="9"/>
      <c r="N126" s="9"/>
      <c r="O126" s="9"/>
      <c r="P126" s="9"/>
      <c r="Q126" s="11"/>
      <c r="R126" s="12"/>
      <c r="S126" s="36"/>
      <c r="T126" s="35"/>
    </row>
    <row r="127" spans="1:24" s="5" customFormat="1" ht="12.75" x14ac:dyDescent="0.2">
      <c r="A127" s="26"/>
      <c r="B127" s="26"/>
      <c r="C127" s="26"/>
      <c r="D127" s="26"/>
      <c r="E127" s="7" t="s">
        <v>29</v>
      </c>
      <c r="F127" s="15" t="str">
        <f>$C$5</f>
        <v>STANDARD SPREADSHEET METHOD</v>
      </c>
      <c r="I127" s="19"/>
      <c r="J127" s="8"/>
      <c r="M127" s="9"/>
      <c r="N127" s="9"/>
      <c r="O127" s="9"/>
      <c r="P127" s="9"/>
      <c r="Q127" s="9"/>
      <c r="R127" s="9"/>
      <c r="S127" s="34"/>
      <c r="T127" s="35"/>
    </row>
    <row r="128" spans="1:24" s="28" customFormat="1" x14ac:dyDescent="0.25">
      <c r="A128" s="70"/>
      <c r="B128" s="21" t="str">
        <f>$G$4</f>
        <v>SIMPLIFIED PART 23 AIRCRAFT LOADS</v>
      </c>
      <c r="C128" s="71"/>
      <c r="D128" s="71"/>
      <c r="E128" s="72"/>
      <c r="F128" s="71"/>
      <c r="G128" s="71"/>
      <c r="H128" s="71"/>
      <c r="I128" s="71"/>
      <c r="J128" s="71"/>
      <c r="K128" s="71"/>
      <c r="L128" s="30"/>
      <c r="M128" s="37"/>
      <c r="N128" s="38"/>
      <c r="O128" s="38"/>
      <c r="P128" s="38"/>
      <c r="Q128" s="38"/>
      <c r="R128" s="37"/>
      <c r="S128" s="37"/>
      <c r="T128" s="39"/>
    </row>
    <row r="129" spans="1:35" s="26" customFormat="1" ht="12.75" x14ac:dyDescent="0.2">
      <c r="A129" s="73"/>
      <c r="B129" s="73" t="s">
        <v>47</v>
      </c>
      <c r="C129" s="73"/>
      <c r="D129" s="73"/>
      <c r="E129" s="73"/>
      <c r="F129" s="73"/>
      <c r="G129" s="73"/>
      <c r="H129" s="73"/>
      <c r="I129" s="73"/>
      <c r="J129" s="73"/>
      <c r="K129" s="73"/>
      <c r="L129" s="29"/>
      <c r="M129" s="27"/>
      <c r="N129" s="27"/>
      <c r="O129" s="27"/>
      <c r="P129" s="27"/>
      <c r="Q129" s="27"/>
      <c r="R129" s="27"/>
      <c r="S129" s="27"/>
      <c r="T129" s="27"/>
    </row>
    <row r="130" spans="1:35" s="26" customFormat="1" ht="12.75" x14ac:dyDescent="0.2">
      <c r="A130" s="73"/>
      <c r="B130" s="114"/>
      <c r="C130" s="73"/>
      <c r="D130" s="76"/>
      <c r="E130" s="73"/>
      <c r="F130" s="73"/>
      <c r="G130" s="77"/>
      <c r="H130" s="73"/>
      <c r="I130" s="73"/>
      <c r="J130" s="73"/>
      <c r="K130" s="73"/>
      <c r="M130" s="27"/>
      <c r="N130" s="27"/>
      <c r="O130" s="27"/>
      <c r="P130" s="27"/>
      <c r="Q130" s="27"/>
      <c r="R130" s="27"/>
      <c r="S130" s="27"/>
      <c r="T130" s="27"/>
    </row>
    <row r="131" spans="1:35" s="26" customFormat="1" ht="12.75" x14ac:dyDescent="0.2">
      <c r="A131" s="28"/>
      <c r="B131" s="193" t="s">
        <v>255</v>
      </c>
      <c r="C131" s="28"/>
      <c r="D131" s="28"/>
      <c r="E131" s="28"/>
      <c r="F131" s="28"/>
      <c r="G131" s="28"/>
      <c r="H131" s="28"/>
      <c r="I131" s="28"/>
      <c r="J131" s="28"/>
      <c r="K131" s="28"/>
      <c r="M131" s="27"/>
      <c r="N131" s="27"/>
      <c r="O131" s="27"/>
      <c r="P131" s="27"/>
      <c r="Q131" s="27"/>
      <c r="R131" s="27"/>
      <c r="S131" s="27"/>
      <c r="T131" s="27"/>
      <c r="V131" s="40"/>
      <c r="W131" s="40"/>
      <c r="Y131" s="5"/>
      <c r="Z131" s="5"/>
      <c r="AA131" s="5"/>
      <c r="AB131" s="5"/>
      <c r="AC131" s="7"/>
      <c r="AD131" s="5"/>
      <c r="AE131" s="5"/>
      <c r="AF131" s="5"/>
      <c r="AG131" s="5"/>
      <c r="AH131" s="5"/>
      <c r="AI131" s="5"/>
    </row>
    <row r="132" spans="1:35" s="28" customFormat="1" ht="13.5" customHeight="1" x14ac:dyDescent="0.2">
      <c r="A132" s="73"/>
      <c r="B132" s="73"/>
      <c r="C132" s="73"/>
      <c r="D132" s="76"/>
      <c r="E132" s="73"/>
      <c r="F132" s="73"/>
      <c r="G132" s="73"/>
      <c r="H132" s="73"/>
      <c r="I132" s="73"/>
      <c r="J132" s="73"/>
      <c r="K132" s="73"/>
      <c r="L132" s="30"/>
      <c r="M132" s="27"/>
      <c r="N132" s="27"/>
      <c r="O132" s="27"/>
      <c r="P132" s="27"/>
      <c r="Q132" s="27"/>
      <c r="R132" s="27"/>
      <c r="S132" s="27"/>
      <c r="T132" s="27"/>
      <c r="U132" s="30"/>
      <c r="V132" s="40"/>
      <c r="W132" s="40"/>
      <c r="X132" s="30"/>
      <c r="Y132" s="5"/>
      <c r="Z132" s="18"/>
      <c r="AA132" s="46"/>
      <c r="AB132" s="46"/>
      <c r="AC132" s="5"/>
      <c r="AD132" s="5"/>
      <c r="AE132" s="5"/>
      <c r="AF132" s="5"/>
      <c r="AG132" s="5"/>
      <c r="AH132" s="5"/>
      <c r="AI132" s="5"/>
    </row>
    <row r="133" spans="1:35" s="28" customFormat="1" ht="12.75" x14ac:dyDescent="0.2">
      <c r="A133" s="77"/>
      <c r="B133" s="76"/>
      <c r="C133" s="76"/>
      <c r="D133" s="101"/>
      <c r="E133" s="77"/>
      <c r="F133" s="77"/>
      <c r="G133" s="77"/>
      <c r="H133" s="77"/>
      <c r="I133" s="77"/>
      <c r="J133" s="77"/>
      <c r="K133" s="77"/>
      <c r="L133" s="30"/>
      <c r="M133" s="27"/>
      <c r="N133" s="27"/>
      <c r="O133" s="27"/>
      <c r="P133" s="27"/>
      <c r="Q133" s="27"/>
      <c r="R133" s="27"/>
      <c r="S133" s="27"/>
      <c r="T133" s="27"/>
      <c r="U133" s="30"/>
      <c r="V133" s="40"/>
      <c r="W133" s="40"/>
      <c r="X133" s="30"/>
      <c r="Y133" s="5"/>
      <c r="Z133" s="46"/>
      <c r="AA133" s="29"/>
      <c r="AB133" s="31"/>
      <c r="AC133" s="5"/>
      <c r="AD133" s="5"/>
      <c r="AE133" s="5"/>
      <c r="AF133" s="5"/>
      <c r="AG133" s="5"/>
      <c r="AH133" s="5"/>
      <c r="AI133" s="5"/>
    </row>
    <row r="134" spans="1:35" s="28" customFormat="1" ht="12.75" x14ac:dyDescent="0.2">
      <c r="A134" s="73"/>
      <c r="B134" s="76"/>
      <c r="C134" s="158"/>
      <c r="D134" s="101"/>
      <c r="E134" s="73"/>
      <c r="F134" s="73"/>
      <c r="G134" s="73"/>
      <c r="H134" s="77"/>
      <c r="I134" s="77"/>
      <c r="J134" s="77"/>
      <c r="K134" s="73"/>
      <c r="L134" s="30"/>
      <c r="M134" s="27"/>
      <c r="N134" s="27"/>
      <c r="O134" s="27"/>
      <c r="P134" s="27"/>
      <c r="Q134" s="27"/>
      <c r="R134" s="27"/>
      <c r="S134" s="27"/>
      <c r="T134" s="27"/>
      <c r="U134" s="30"/>
      <c r="V134" s="40"/>
      <c r="W134" s="40"/>
      <c r="X134" s="30"/>
      <c r="Y134" s="5"/>
      <c r="Z134" s="46"/>
      <c r="AA134" s="29"/>
      <c r="AB134" s="31"/>
      <c r="AC134" s="47"/>
      <c r="AD134" s="5"/>
      <c r="AE134" s="48"/>
      <c r="AF134" s="47"/>
      <c r="AG134" s="47"/>
      <c r="AH134" s="47"/>
      <c r="AI134" s="5"/>
    </row>
    <row r="135" spans="1:35" s="28" customFormat="1" ht="12.75" x14ac:dyDescent="0.2">
      <c r="A135" s="73"/>
      <c r="B135" s="103"/>
      <c r="C135" s="104"/>
      <c r="D135" s="101"/>
      <c r="E135" s="73"/>
      <c r="F135" s="73"/>
      <c r="G135" s="73"/>
      <c r="H135" s="77"/>
      <c r="I135" s="77"/>
      <c r="J135" s="77"/>
      <c r="K135" s="73"/>
      <c r="L135" s="30"/>
      <c r="M135" s="27"/>
      <c r="N135" s="27"/>
      <c r="O135" s="27"/>
      <c r="P135" s="27"/>
      <c r="Q135" s="27"/>
      <c r="R135" s="27"/>
      <c r="S135" s="27"/>
      <c r="T135" s="27"/>
      <c r="U135" s="30"/>
      <c r="V135" s="40"/>
      <c r="X135" s="121"/>
      <c r="Y135" s="122"/>
      <c r="Z135" s="123"/>
      <c r="AA135" s="124"/>
      <c r="AB135" s="124"/>
      <c r="AC135" s="123"/>
      <c r="AD135" s="47"/>
      <c r="AE135" s="47"/>
      <c r="AH135" s="47"/>
      <c r="AI135" s="23"/>
    </row>
    <row r="136" spans="1:35" s="28" customFormat="1" ht="12.75" x14ac:dyDescent="0.2">
      <c r="A136" s="79"/>
      <c r="B136" s="77"/>
      <c r="C136" s="77"/>
      <c r="D136" s="77"/>
      <c r="E136" s="77"/>
      <c r="F136" s="77"/>
      <c r="G136" s="77"/>
      <c r="H136" s="77"/>
      <c r="I136" s="73"/>
      <c r="J136" s="73"/>
      <c r="K136" s="73"/>
      <c r="L136" s="30"/>
      <c r="M136" s="27"/>
      <c r="N136" s="27"/>
      <c r="O136" s="27"/>
      <c r="P136" s="27"/>
      <c r="Q136" s="27"/>
      <c r="R136" s="27"/>
      <c r="S136" s="27"/>
      <c r="T136" s="27"/>
      <c r="U136" s="30"/>
      <c r="V136" s="40"/>
      <c r="W136" s="40"/>
      <c r="X136" s="30"/>
      <c r="Y136" s="23"/>
      <c r="Z136" s="50"/>
      <c r="AA136" s="29"/>
      <c r="AB136" s="31"/>
      <c r="AC136" s="51"/>
      <c r="AD136" s="51"/>
      <c r="AE136" s="51"/>
      <c r="AG136" s="47"/>
      <c r="AH136" s="51"/>
      <c r="AI136" s="23"/>
    </row>
    <row r="137" spans="1:35" s="28" customFormat="1" ht="12.75" x14ac:dyDescent="0.2">
      <c r="A137" s="77"/>
      <c r="B137" s="76"/>
      <c r="C137" s="76"/>
      <c r="D137" s="101"/>
      <c r="E137" s="77"/>
      <c r="F137" s="77"/>
      <c r="G137" s="77"/>
      <c r="H137" s="77"/>
      <c r="I137" s="77"/>
      <c r="J137" s="77"/>
      <c r="K137" s="77"/>
      <c r="L137" s="30"/>
      <c r="M137" s="27"/>
      <c r="N137" s="27"/>
      <c r="O137" s="27"/>
      <c r="P137" s="27"/>
      <c r="Q137" s="27"/>
      <c r="R137" s="27"/>
      <c r="S137" s="27"/>
      <c r="T137" s="27"/>
      <c r="U137" s="30"/>
      <c r="V137" s="40"/>
      <c r="W137" s="40"/>
      <c r="X137" s="5"/>
      <c r="Y137" s="5"/>
      <c r="Z137" s="5"/>
      <c r="AA137" s="5"/>
      <c r="AB137" s="5"/>
      <c r="AC137" s="5"/>
      <c r="AD137" s="5"/>
      <c r="AE137" s="5"/>
      <c r="AF137" s="5"/>
      <c r="AG137" s="5"/>
      <c r="AH137" s="5"/>
      <c r="AI137" s="5"/>
    </row>
    <row r="138" spans="1:35" s="28" customFormat="1" ht="12.75" x14ac:dyDescent="0.2">
      <c r="A138" s="77"/>
      <c r="B138" s="76"/>
      <c r="C138" s="158"/>
      <c r="D138" s="101"/>
      <c r="E138" s="77"/>
      <c r="F138" s="77"/>
      <c r="G138" s="77"/>
      <c r="H138" s="77"/>
      <c r="I138" s="77"/>
      <c r="J138" s="77"/>
      <c r="K138" s="77"/>
      <c r="L138" s="30"/>
      <c r="M138" s="27"/>
      <c r="N138" s="27"/>
      <c r="O138" s="27"/>
      <c r="P138" s="27"/>
      <c r="Q138" s="27"/>
      <c r="R138" s="27"/>
      <c r="S138" s="27"/>
      <c r="T138" s="27"/>
      <c r="U138" s="30"/>
      <c r="V138" s="40"/>
      <c r="W138" s="40"/>
      <c r="X138" s="23"/>
      <c r="Y138" s="23"/>
      <c r="Z138" s="23"/>
      <c r="AA138" s="23"/>
      <c r="AB138" s="23"/>
      <c r="AC138" s="23"/>
      <c r="AD138" s="5"/>
      <c r="AE138" s="5"/>
      <c r="AF138" s="5"/>
      <c r="AG138" s="5"/>
      <c r="AH138" s="51"/>
      <c r="AI138" s="5"/>
    </row>
    <row r="139" spans="1:35" s="28" customFormat="1" ht="12.75" x14ac:dyDescent="0.2">
      <c r="A139" s="77"/>
      <c r="B139" s="103"/>
      <c r="C139" s="104"/>
      <c r="D139" s="101"/>
      <c r="E139" s="77"/>
      <c r="F139" s="77"/>
      <c r="G139" s="77"/>
      <c r="H139" s="77"/>
      <c r="I139" s="77"/>
      <c r="J139" s="77"/>
      <c r="K139" s="77"/>
      <c r="L139" s="30"/>
      <c r="M139" s="27"/>
      <c r="N139" s="27"/>
      <c r="O139" s="27"/>
      <c r="P139" s="27"/>
      <c r="Q139" s="27"/>
      <c r="R139" s="27"/>
      <c r="S139" s="27"/>
      <c r="T139" s="27"/>
      <c r="U139" s="30"/>
      <c r="V139" s="40"/>
      <c r="W139" s="40"/>
      <c r="X139" s="30"/>
      <c r="Y139" s="5"/>
      <c r="Z139" s="5"/>
      <c r="AA139" s="5"/>
      <c r="AB139" s="5"/>
      <c r="AC139" s="5"/>
      <c r="AD139" s="18"/>
      <c r="AE139" s="18"/>
      <c r="AF139" s="18"/>
      <c r="AG139" s="18"/>
      <c r="AH139" s="51"/>
      <c r="AI139" s="5"/>
    </row>
    <row r="140" spans="1:35" s="28" customFormat="1" ht="12.75" x14ac:dyDescent="0.2">
      <c r="A140" s="77"/>
      <c r="B140" s="77"/>
      <c r="C140" s="77"/>
      <c r="D140" s="77"/>
      <c r="E140" s="77"/>
      <c r="F140" s="77"/>
      <c r="G140" s="77"/>
      <c r="H140" s="77"/>
      <c r="I140" s="77"/>
      <c r="J140" s="77"/>
      <c r="K140" s="77"/>
      <c r="L140" s="30"/>
      <c r="M140" s="27"/>
      <c r="N140" s="27"/>
      <c r="O140" s="27"/>
      <c r="P140" s="27"/>
      <c r="Q140" s="27"/>
      <c r="R140" s="27"/>
      <c r="S140" s="27"/>
      <c r="T140" s="27"/>
      <c r="U140" s="30"/>
      <c r="V140" s="40"/>
      <c r="W140" s="40"/>
      <c r="X140" s="30"/>
      <c r="Y140" s="5"/>
      <c r="Z140" s="5"/>
      <c r="AA140" s="5"/>
      <c r="AB140" s="5"/>
      <c r="AC140" s="5"/>
      <c r="AD140" s="18"/>
      <c r="AE140" s="18"/>
      <c r="AF140" s="49"/>
      <c r="AG140" s="18"/>
      <c r="AH140" s="51"/>
      <c r="AI140" s="5"/>
    </row>
    <row r="141" spans="1:35" s="28" customFormat="1" ht="12.75" x14ac:dyDescent="0.2">
      <c r="A141" s="77"/>
      <c r="B141" s="77"/>
      <c r="C141" s="77"/>
      <c r="D141" s="77"/>
      <c r="E141" s="77"/>
      <c r="F141" s="77"/>
      <c r="G141" s="77"/>
      <c r="H141" s="77"/>
      <c r="I141" s="77"/>
      <c r="J141" s="77"/>
      <c r="K141" s="77"/>
      <c r="L141" s="30"/>
      <c r="M141" s="27"/>
      <c r="N141" s="27"/>
      <c r="O141" s="27"/>
      <c r="P141" s="27"/>
      <c r="Q141" s="27"/>
      <c r="R141" s="27"/>
      <c r="S141" s="27"/>
      <c r="T141" s="27"/>
      <c r="U141" s="30"/>
      <c r="V141" s="40"/>
      <c r="W141" s="40"/>
      <c r="X141" s="30"/>
      <c r="Y141" s="5"/>
      <c r="Z141" s="5"/>
      <c r="AA141" s="5"/>
      <c r="AB141" s="5"/>
      <c r="AC141" s="5"/>
      <c r="AD141" s="18"/>
      <c r="AE141" s="18"/>
      <c r="AF141" s="18"/>
      <c r="AG141" s="18"/>
      <c r="AH141" s="5"/>
      <c r="AI141" s="5"/>
    </row>
    <row r="142" spans="1:35" s="28" customFormat="1" ht="12.75" x14ac:dyDescent="0.2">
      <c r="A142" s="79"/>
      <c r="B142" s="80"/>
      <c r="C142" s="77"/>
      <c r="D142" s="77"/>
      <c r="E142" s="73"/>
      <c r="F142" s="73"/>
      <c r="G142" s="73"/>
      <c r="H142" s="81"/>
      <c r="I142" s="77"/>
      <c r="J142" s="77"/>
      <c r="K142" s="73"/>
      <c r="L142" s="30"/>
      <c r="M142" s="27"/>
      <c r="N142" s="27"/>
      <c r="O142" s="27"/>
      <c r="P142" s="27"/>
      <c r="Q142" s="27"/>
      <c r="R142" s="27"/>
      <c r="S142" s="27"/>
      <c r="T142" s="27"/>
      <c r="U142" s="30"/>
      <c r="V142" s="40"/>
      <c r="W142" s="40"/>
      <c r="X142" s="117"/>
      <c r="Y142" s="117"/>
      <c r="Z142" s="117"/>
      <c r="AA142" s="117"/>
      <c r="AB142" s="117"/>
      <c r="AC142" s="117"/>
      <c r="AD142" s="18"/>
      <c r="AE142" s="18"/>
      <c r="AF142" s="18"/>
      <c r="AG142" s="18"/>
      <c r="AH142" s="5"/>
      <c r="AI142" s="5"/>
    </row>
    <row r="143" spans="1:35" s="28" customFormat="1" ht="12.75" x14ac:dyDescent="0.2">
      <c r="A143" s="79"/>
      <c r="B143" s="76"/>
      <c r="C143" s="78"/>
      <c r="D143" s="73"/>
      <c r="E143" s="73"/>
      <c r="F143" s="82"/>
      <c r="G143" s="73"/>
      <c r="H143" s="82"/>
      <c r="I143" s="77"/>
      <c r="J143" s="77"/>
      <c r="K143" s="73"/>
      <c r="L143" s="30"/>
      <c r="M143" s="27"/>
      <c r="N143" s="27"/>
      <c r="O143" s="27"/>
      <c r="P143" s="27"/>
      <c r="Q143" s="27"/>
      <c r="R143" s="27"/>
      <c r="S143" s="27"/>
      <c r="T143" s="27"/>
      <c r="U143" s="30"/>
      <c r="V143" s="40"/>
      <c r="W143" s="40"/>
      <c r="X143" s="117"/>
      <c r="Y143" s="117"/>
      <c r="Z143" s="117"/>
      <c r="AA143" s="117"/>
      <c r="AB143" s="117"/>
      <c r="AC143" s="117"/>
      <c r="AD143" s="18"/>
      <c r="AE143" s="40"/>
      <c r="AF143" s="117"/>
      <c r="AG143" s="117"/>
      <c r="AH143" s="5"/>
      <c r="AI143" s="5"/>
    </row>
    <row r="144" spans="1:35" s="28" customFormat="1" ht="12.75" x14ac:dyDescent="0.2">
      <c r="A144" s="73"/>
      <c r="B144" s="76"/>
      <c r="C144" s="73"/>
      <c r="D144" s="73"/>
      <c r="E144" s="73"/>
      <c r="F144" s="82"/>
      <c r="G144" s="73"/>
      <c r="H144" s="82"/>
      <c r="I144" s="77"/>
      <c r="J144" s="77"/>
      <c r="K144" s="73"/>
      <c r="L144" s="30"/>
      <c r="M144" s="27"/>
      <c r="N144" s="27"/>
      <c r="O144" s="27"/>
      <c r="P144" s="27"/>
      <c r="Q144" s="27"/>
      <c r="R144" s="27"/>
      <c r="S144" s="27"/>
      <c r="T144" s="27"/>
      <c r="U144" s="30"/>
      <c r="V144" s="40"/>
      <c r="W144" s="40"/>
      <c r="X144" s="117"/>
      <c r="Y144" s="117"/>
      <c r="Z144" s="117"/>
      <c r="AA144" s="117"/>
      <c r="AB144" s="117"/>
      <c r="AC144" s="117"/>
      <c r="AD144" s="18"/>
      <c r="AE144" s="51"/>
      <c r="AF144" s="54"/>
      <c r="AG144" s="51"/>
      <c r="AH144" s="51"/>
      <c r="AI144" s="23"/>
    </row>
    <row r="145" spans="1:35" s="28" customFormat="1" ht="12.75" x14ac:dyDescent="0.2">
      <c r="A145" s="79"/>
      <c r="B145" s="80"/>
      <c r="C145" s="81"/>
      <c r="D145" s="73"/>
      <c r="E145" s="73"/>
      <c r="F145" s="84"/>
      <c r="G145" s="73"/>
      <c r="H145" s="84"/>
      <c r="I145" s="77"/>
      <c r="J145" s="77"/>
      <c r="K145" s="73"/>
      <c r="L145" s="30"/>
      <c r="M145" s="27"/>
      <c r="N145" s="27"/>
      <c r="O145" s="27"/>
      <c r="P145" s="27"/>
      <c r="Q145" s="27"/>
      <c r="R145" s="27"/>
      <c r="S145" s="27"/>
      <c r="T145" s="27"/>
      <c r="U145" s="30"/>
      <c r="V145" s="40"/>
      <c r="W145" s="40"/>
      <c r="X145" s="117"/>
      <c r="Y145" s="117"/>
      <c r="Z145" s="117"/>
      <c r="AA145" s="117"/>
      <c r="AB145" s="117"/>
      <c r="AC145" s="117"/>
      <c r="AD145" s="18"/>
      <c r="AE145" s="45"/>
      <c r="AF145" s="45"/>
      <c r="AG145" s="45"/>
      <c r="AH145" s="45"/>
      <c r="AI145" s="44"/>
    </row>
    <row r="146" spans="1:35" s="28" customFormat="1" ht="12.75" x14ac:dyDescent="0.2">
      <c r="A146" s="79"/>
      <c r="B146" s="80"/>
      <c r="C146" s="79"/>
      <c r="D146" s="76"/>
      <c r="E146" s="73"/>
      <c r="F146" s="84"/>
      <c r="G146" s="73"/>
      <c r="H146" s="84"/>
      <c r="I146" s="77"/>
      <c r="J146" s="77"/>
      <c r="K146" s="73"/>
      <c r="L146" s="30"/>
      <c r="M146" s="27"/>
      <c r="N146" s="27"/>
      <c r="O146" s="27"/>
      <c r="P146" s="27"/>
      <c r="Q146" s="27"/>
      <c r="R146" s="27"/>
      <c r="S146" s="27"/>
      <c r="T146" s="27"/>
      <c r="U146" s="30"/>
      <c r="V146" s="40"/>
      <c r="W146" s="40"/>
      <c r="X146" s="117"/>
      <c r="Y146" s="117"/>
      <c r="Z146" s="117"/>
      <c r="AA146" s="117"/>
      <c r="AB146" s="117"/>
      <c r="AC146" s="117"/>
      <c r="AD146" s="18"/>
      <c r="AE146" s="45"/>
      <c r="AF146" s="45"/>
      <c r="AG146" s="45"/>
      <c r="AH146" s="45"/>
      <c r="AI146" s="44"/>
    </row>
    <row r="147" spans="1:35" s="28" customFormat="1" ht="12.75" x14ac:dyDescent="0.2">
      <c r="A147" s="79"/>
      <c r="B147" s="77"/>
      <c r="C147" s="77"/>
      <c r="D147" s="77"/>
      <c r="E147" s="73"/>
      <c r="F147" s="84"/>
      <c r="G147" s="73"/>
      <c r="H147" s="84"/>
      <c r="I147" s="77"/>
      <c r="J147" s="77"/>
      <c r="K147" s="79"/>
      <c r="L147" s="30"/>
      <c r="M147" s="27"/>
      <c r="N147" s="27"/>
      <c r="O147" s="27"/>
      <c r="P147" s="27"/>
      <c r="Q147" s="27"/>
      <c r="R147" s="27"/>
      <c r="S147" s="27"/>
      <c r="T147" s="27"/>
      <c r="U147" s="30"/>
      <c r="V147" s="40"/>
      <c r="W147" s="40"/>
      <c r="X147" s="117"/>
      <c r="Y147" s="117"/>
      <c r="Z147" s="117"/>
      <c r="AA147" s="117"/>
      <c r="AB147" s="117"/>
      <c r="AC147" s="117"/>
      <c r="AD147" s="18"/>
      <c r="AE147" s="45"/>
      <c r="AF147" s="45"/>
      <c r="AG147" s="45"/>
      <c r="AH147" s="45"/>
      <c r="AI147" s="44"/>
    </row>
    <row r="148" spans="1:35" s="28" customFormat="1" ht="12.75" x14ac:dyDescent="0.2">
      <c r="A148" s="79"/>
      <c r="B148" s="77"/>
      <c r="C148" s="77"/>
      <c r="D148" s="77"/>
      <c r="E148" s="73"/>
      <c r="F148" s="84"/>
      <c r="G148" s="73"/>
      <c r="H148" s="84"/>
      <c r="I148" s="77"/>
      <c r="J148" s="77"/>
      <c r="K148" s="79"/>
      <c r="L148" s="30"/>
      <c r="M148" s="27"/>
      <c r="N148" s="27"/>
      <c r="O148" s="27"/>
      <c r="P148" s="27"/>
      <c r="Q148" s="27"/>
      <c r="R148" s="27"/>
      <c r="S148" s="27"/>
      <c r="T148" s="27"/>
      <c r="U148" s="30"/>
      <c r="V148" s="40"/>
      <c r="W148" s="40"/>
      <c r="X148" s="117"/>
      <c r="Y148" s="117"/>
      <c r="Z148" s="117"/>
      <c r="AA148" s="117"/>
      <c r="AB148" s="117"/>
      <c r="AC148" s="117"/>
      <c r="AD148" s="18"/>
      <c r="AE148" s="45"/>
      <c r="AF148" s="45"/>
      <c r="AG148" s="45"/>
      <c r="AH148" s="45"/>
      <c r="AI148" s="44"/>
    </row>
    <row r="149" spans="1:35" s="28" customFormat="1" ht="12.75" x14ac:dyDescent="0.2">
      <c r="A149" s="73"/>
      <c r="B149" s="77"/>
      <c r="C149" s="77"/>
      <c r="D149" s="77"/>
      <c r="E149" s="73"/>
      <c r="F149" s="73"/>
      <c r="G149" s="73"/>
      <c r="H149" s="73"/>
      <c r="I149" s="73"/>
      <c r="J149" s="73"/>
      <c r="K149" s="73"/>
      <c r="L149" s="30"/>
      <c r="M149" s="27"/>
      <c r="N149" s="27"/>
      <c r="O149" s="27"/>
      <c r="P149" s="27"/>
      <c r="Q149" s="27"/>
      <c r="R149" s="27"/>
      <c r="S149" s="27"/>
      <c r="T149" s="27"/>
      <c r="U149" s="30"/>
      <c r="V149" s="40"/>
      <c r="W149" s="40"/>
      <c r="X149" s="117"/>
      <c r="Y149" s="117"/>
      <c r="Z149" s="117"/>
      <c r="AA149" s="117"/>
      <c r="AB149" s="117"/>
      <c r="AC149" s="117"/>
      <c r="AD149" s="18"/>
      <c r="AE149" s="40"/>
      <c r="AF149" s="117"/>
      <c r="AG149" s="117"/>
      <c r="AH149" s="45"/>
      <c r="AI149" s="44"/>
    </row>
    <row r="150" spans="1:35" s="28" customFormat="1" ht="12.75" x14ac:dyDescent="0.2">
      <c r="A150" s="73"/>
      <c r="B150" s="77"/>
      <c r="C150" s="77"/>
      <c r="D150" s="77"/>
      <c r="E150" s="73"/>
      <c r="F150" s="73"/>
      <c r="G150" s="73"/>
      <c r="H150" s="73"/>
      <c r="I150" s="73"/>
      <c r="J150" s="73"/>
      <c r="K150" s="73"/>
      <c r="L150" s="30"/>
      <c r="M150" s="27"/>
      <c r="N150" s="27"/>
      <c r="O150" s="27"/>
      <c r="P150" s="27"/>
      <c r="Q150" s="27"/>
      <c r="R150" s="27"/>
      <c r="S150" s="27"/>
      <c r="T150" s="27"/>
      <c r="U150" s="30"/>
      <c r="V150" s="40"/>
      <c r="W150" s="40"/>
      <c r="X150" s="117"/>
      <c r="Y150" s="117"/>
      <c r="Z150" s="117"/>
      <c r="AA150" s="117"/>
      <c r="AB150" s="117"/>
      <c r="AC150" s="117"/>
      <c r="AD150" s="18"/>
      <c r="AE150" s="43"/>
      <c r="AF150" s="54"/>
      <c r="AG150" s="42"/>
      <c r="AH150" s="5"/>
      <c r="AI150" s="5"/>
    </row>
    <row r="151" spans="1:35" s="28" customFormat="1" ht="12.75" x14ac:dyDescent="0.2">
      <c r="A151" s="80"/>
      <c r="B151" s="80"/>
      <c r="C151" s="163"/>
      <c r="D151" s="77"/>
      <c r="E151" s="73"/>
      <c r="F151" s="73"/>
      <c r="G151" s="73"/>
      <c r="H151" s="73"/>
      <c r="I151" s="73"/>
      <c r="J151" s="73"/>
      <c r="K151" s="73"/>
      <c r="L151" s="30"/>
      <c r="M151" s="27"/>
      <c r="N151" s="27"/>
      <c r="O151" s="27"/>
      <c r="P151" s="27"/>
      <c r="Q151" s="27"/>
      <c r="R151" s="27"/>
      <c r="S151" s="27"/>
      <c r="T151" s="27"/>
      <c r="U151" s="30"/>
      <c r="V151" s="40"/>
      <c r="W151" s="40"/>
      <c r="X151" s="117"/>
      <c r="Y151" s="117"/>
      <c r="Z151" s="117"/>
      <c r="AA151" s="117"/>
      <c r="AB151" s="117"/>
      <c r="AC151" s="117"/>
      <c r="AD151" s="18"/>
      <c r="AE151" s="41"/>
      <c r="AF151" s="41"/>
      <c r="AG151" s="41"/>
      <c r="AH151" s="41"/>
      <c r="AI151" s="41"/>
    </row>
    <row r="152" spans="1:35" s="28" customFormat="1" ht="12.75" x14ac:dyDescent="0.2">
      <c r="A152" s="76"/>
      <c r="B152" s="76"/>
      <c r="C152" s="89"/>
      <c r="D152" s="88"/>
      <c r="E152" s="73"/>
      <c r="F152" s="76"/>
      <c r="G152" s="78"/>
      <c r="H152" s="73"/>
      <c r="I152" s="77"/>
      <c r="J152" s="73"/>
      <c r="K152" s="73"/>
      <c r="L152" s="30"/>
      <c r="M152" s="27"/>
      <c r="N152" s="27"/>
      <c r="O152" s="27"/>
      <c r="P152" s="27"/>
      <c r="Q152" s="27"/>
      <c r="R152" s="27"/>
      <c r="S152" s="27"/>
      <c r="T152" s="27"/>
      <c r="U152" s="30"/>
      <c r="V152" s="40"/>
      <c r="W152" s="40"/>
      <c r="X152" s="117"/>
      <c r="Y152" s="117"/>
      <c r="Z152" s="117"/>
      <c r="AA152" s="117"/>
      <c r="AB152" s="117"/>
      <c r="AC152" s="117"/>
      <c r="AD152" s="18"/>
      <c r="AE152" s="41"/>
      <c r="AF152" s="49"/>
      <c r="AG152" s="49"/>
      <c r="AH152" s="41"/>
      <c r="AI152" s="41"/>
    </row>
    <row r="153" spans="1:35" s="28" customFormat="1" ht="12.75" x14ac:dyDescent="0.2">
      <c r="A153" s="80"/>
      <c r="B153" s="77"/>
      <c r="C153" s="77"/>
      <c r="D153" s="88"/>
      <c r="E153" s="73"/>
      <c r="F153" s="76"/>
      <c r="G153" s="73"/>
      <c r="H153" s="73"/>
      <c r="I153" s="77"/>
      <c r="J153" s="81"/>
      <c r="K153" s="81"/>
      <c r="L153" s="30"/>
      <c r="M153" s="27"/>
      <c r="N153" s="27"/>
      <c r="O153" s="27"/>
      <c r="P153" s="27"/>
      <c r="Q153" s="27"/>
      <c r="R153" s="27"/>
      <c r="S153" s="27"/>
      <c r="T153" s="27"/>
      <c r="U153" s="30"/>
      <c r="V153" s="40"/>
      <c r="W153" s="40"/>
      <c r="X153" s="117"/>
      <c r="Y153" s="117"/>
      <c r="Z153" s="117"/>
      <c r="AA153" s="117"/>
      <c r="AB153" s="117"/>
      <c r="AC153" s="117"/>
      <c r="AD153" s="18"/>
      <c r="AE153" s="41"/>
      <c r="AF153" s="49"/>
      <c r="AG153" s="49"/>
      <c r="AH153" s="41"/>
      <c r="AI153" s="41"/>
    </row>
    <row r="154" spans="1:35" s="28" customFormat="1" ht="12.75" x14ac:dyDescent="0.2">
      <c r="A154" s="80"/>
      <c r="C154" s="77"/>
      <c r="D154" s="77"/>
      <c r="E154" s="77" t="s">
        <v>179</v>
      </c>
      <c r="F154" s="73"/>
      <c r="G154" s="80"/>
      <c r="H154" s="81"/>
      <c r="I154" s="77"/>
      <c r="J154" s="81"/>
      <c r="K154" s="81"/>
      <c r="L154" s="30"/>
      <c r="M154" s="27"/>
      <c r="N154" s="27"/>
      <c r="O154" s="27"/>
      <c r="P154" s="27"/>
      <c r="Q154" s="27"/>
      <c r="R154" s="27"/>
      <c r="S154" s="27"/>
      <c r="T154" s="27"/>
      <c r="U154" s="30"/>
      <c r="V154" s="40"/>
      <c r="W154" s="40"/>
      <c r="X154" s="117"/>
      <c r="Y154" s="117"/>
      <c r="Z154" s="117"/>
      <c r="AA154" s="117"/>
      <c r="AB154" s="117"/>
      <c r="AC154" s="117"/>
      <c r="AD154" s="18"/>
      <c r="AE154" s="41"/>
      <c r="AF154" s="49"/>
      <c r="AG154" s="49"/>
      <c r="AH154" s="41"/>
      <c r="AI154" s="41"/>
    </row>
    <row r="155" spans="1:35" s="28" customFormat="1" ht="12.75" x14ac:dyDescent="0.2">
      <c r="A155" s="73"/>
      <c r="C155" s="77"/>
      <c r="D155" s="77"/>
      <c r="E155" s="77" t="s">
        <v>180</v>
      </c>
      <c r="F155" s="80"/>
      <c r="G155" s="77"/>
      <c r="H155" s="77"/>
      <c r="I155" s="73"/>
      <c r="J155" s="73"/>
      <c r="K155" s="73"/>
      <c r="L155" s="30"/>
      <c r="M155" s="27"/>
      <c r="N155" s="27"/>
      <c r="O155" s="27"/>
      <c r="P155" s="27"/>
      <c r="Q155" s="27"/>
      <c r="R155" s="27"/>
      <c r="S155" s="27"/>
      <c r="T155" s="27"/>
      <c r="U155" s="30"/>
      <c r="V155" s="40"/>
      <c r="W155" s="40"/>
      <c r="X155" s="117"/>
      <c r="Y155" s="117"/>
      <c r="Z155" s="117"/>
      <c r="AA155" s="117"/>
      <c r="AB155" s="117"/>
      <c r="AC155" s="117"/>
      <c r="AD155" s="18"/>
      <c r="AE155" s="41"/>
      <c r="AF155" s="49"/>
      <c r="AG155" s="49"/>
      <c r="AH155" s="41"/>
      <c r="AI155" s="41"/>
    </row>
    <row r="156" spans="1:35" s="28" customFormat="1" ht="12.75" x14ac:dyDescent="0.2">
      <c r="A156" s="73"/>
      <c r="B156" s="76"/>
      <c r="C156" s="77"/>
      <c r="D156" s="73"/>
      <c r="E156" s="76"/>
      <c r="F156" s="111"/>
      <c r="G156" s="110"/>
      <c r="H156" s="77"/>
      <c r="I156" s="73"/>
      <c r="J156" s="73"/>
      <c r="K156" s="73"/>
      <c r="L156" s="30"/>
      <c r="M156" s="27"/>
      <c r="N156" s="27"/>
      <c r="O156" s="27"/>
      <c r="P156" s="27"/>
      <c r="Q156" s="27"/>
      <c r="R156" s="27"/>
      <c r="S156" s="27"/>
      <c r="T156" s="27"/>
      <c r="U156" s="30"/>
      <c r="V156" s="40"/>
      <c r="W156" s="40"/>
      <c r="X156" s="117"/>
      <c r="Y156" s="117"/>
      <c r="Z156" s="117"/>
      <c r="AA156" s="117"/>
      <c r="AB156" s="117"/>
      <c r="AC156" s="117"/>
      <c r="AD156" s="18"/>
      <c r="AE156" s="5"/>
      <c r="AF156" s="49"/>
      <c r="AG156" s="49"/>
      <c r="AH156" s="5"/>
      <c r="AI156" s="5"/>
    </row>
    <row r="157" spans="1:35" s="28" customFormat="1" ht="12.75" x14ac:dyDescent="0.2">
      <c r="A157" s="73"/>
      <c r="C157" s="95"/>
      <c r="D157" s="110"/>
      <c r="E157" s="80" t="s">
        <v>225</v>
      </c>
      <c r="F157" s="158">
        <f>-0.25*F110</f>
        <v>-177.16262975778548</v>
      </c>
      <c r="G157" s="73" t="s">
        <v>143</v>
      </c>
      <c r="H157" s="77"/>
      <c r="I157" s="73"/>
      <c r="J157" s="73"/>
      <c r="K157" s="73"/>
      <c r="L157" s="30"/>
      <c r="M157" s="27"/>
      <c r="N157" s="27"/>
      <c r="O157" s="27"/>
      <c r="P157" s="27"/>
      <c r="Q157" s="27"/>
      <c r="R157" s="27"/>
      <c r="S157" s="27"/>
      <c r="T157" s="27"/>
      <c r="U157" s="30"/>
      <c r="V157" s="40"/>
      <c r="W157" s="40"/>
      <c r="X157" s="117"/>
      <c r="Y157" s="117"/>
      <c r="Z157" s="117"/>
      <c r="AA157" s="117"/>
      <c r="AB157" s="117"/>
      <c r="AC157" s="117"/>
      <c r="AD157" s="18"/>
      <c r="AE157" s="5"/>
      <c r="AF157" s="49"/>
      <c r="AG157" s="49"/>
      <c r="AH157" s="5"/>
      <c r="AI157" s="51"/>
    </row>
    <row r="158" spans="1:35" s="28" customFormat="1" ht="12.75" x14ac:dyDescent="0.2">
      <c r="A158" s="73"/>
      <c r="C158" s="77"/>
      <c r="D158" s="77"/>
      <c r="E158" s="80" t="s">
        <v>227</v>
      </c>
      <c r="F158" s="158">
        <f>-0.25*F111</f>
        <v>199.46908169222667</v>
      </c>
      <c r="G158" s="73" t="s">
        <v>183</v>
      </c>
      <c r="H158" s="77"/>
      <c r="I158" s="73"/>
      <c r="J158" s="73"/>
      <c r="K158" s="73"/>
      <c r="L158" s="30"/>
      <c r="M158" s="27"/>
      <c r="N158" s="27"/>
      <c r="O158" s="27"/>
      <c r="P158" s="27"/>
      <c r="Q158" s="27"/>
      <c r="R158" s="27"/>
      <c r="S158" s="27"/>
      <c r="T158" s="27"/>
      <c r="U158" s="30"/>
      <c r="V158" s="40"/>
      <c r="W158" s="40"/>
      <c r="X158" s="117"/>
      <c r="Y158" s="117"/>
      <c r="Z158" s="117"/>
      <c r="AA158" s="117"/>
      <c r="AB158" s="117"/>
      <c r="AC158" s="117"/>
      <c r="AD158" s="18"/>
      <c r="AE158" s="5"/>
      <c r="AF158" s="49"/>
      <c r="AG158" s="49"/>
      <c r="AH158" s="5"/>
      <c r="AI158" s="51"/>
    </row>
    <row r="159" spans="1:35" s="28" customFormat="1" ht="12.75" x14ac:dyDescent="0.2">
      <c r="L159" s="30"/>
      <c r="M159" s="27"/>
      <c r="N159" s="27"/>
      <c r="O159" s="27"/>
      <c r="P159" s="27"/>
      <c r="Q159" s="27"/>
      <c r="R159" s="27"/>
      <c r="S159" s="27"/>
      <c r="T159" s="27"/>
      <c r="U159" s="30"/>
      <c r="V159" s="40"/>
      <c r="W159" s="40"/>
      <c r="X159" s="117"/>
      <c r="Y159" s="117"/>
      <c r="Z159" s="117"/>
      <c r="AA159" s="117"/>
      <c r="AB159" s="117"/>
      <c r="AC159" s="117"/>
      <c r="AD159" s="18"/>
      <c r="AE159" s="5"/>
      <c r="AF159" s="5"/>
      <c r="AG159" s="5"/>
      <c r="AH159" s="5"/>
      <c r="AI159" s="51"/>
    </row>
    <row r="160" spans="1:35" s="28" customFormat="1" ht="12.75" x14ac:dyDescent="0.2">
      <c r="L160" s="30"/>
      <c r="M160" s="27"/>
      <c r="N160" s="27"/>
      <c r="O160" s="27"/>
      <c r="P160" s="27"/>
      <c r="Q160" s="27"/>
      <c r="R160" s="27"/>
      <c r="S160" s="27"/>
      <c r="T160" s="27"/>
      <c r="U160" s="30"/>
      <c r="V160" s="40"/>
      <c r="W160" s="40"/>
      <c r="X160" s="117"/>
      <c r="Y160" s="117"/>
      <c r="Z160" s="117"/>
      <c r="AA160" s="117"/>
      <c r="AB160" s="117"/>
      <c r="AC160" s="117"/>
      <c r="AD160" s="18"/>
      <c r="AE160" s="5"/>
      <c r="AF160" s="5"/>
      <c r="AG160" s="5"/>
      <c r="AH160" s="5"/>
      <c r="AI160" s="51"/>
    </row>
    <row r="161" spans="1:35" s="28" customFormat="1" ht="12.75" x14ac:dyDescent="0.2">
      <c r="L161" s="30"/>
      <c r="M161" s="27"/>
      <c r="N161" s="27"/>
      <c r="O161" s="27"/>
      <c r="P161" s="27"/>
      <c r="Q161" s="27"/>
      <c r="R161" s="27"/>
      <c r="S161" s="27"/>
      <c r="T161" s="27"/>
      <c r="U161" s="30"/>
      <c r="V161" s="40"/>
      <c r="W161" s="40"/>
      <c r="X161" s="117"/>
      <c r="Y161" s="117"/>
      <c r="Z161" s="117"/>
      <c r="AA161" s="117"/>
      <c r="AB161" s="117"/>
      <c r="AC161" s="117"/>
      <c r="AD161" s="18"/>
      <c r="AE161" s="5"/>
      <c r="AF161" s="5"/>
      <c r="AG161" s="5"/>
      <c r="AH161" s="5"/>
      <c r="AI161" s="5"/>
    </row>
    <row r="162" spans="1:35" s="28" customFormat="1" ht="12.75" x14ac:dyDescent="0.2">
      <c r="L162" s="30"/>
      <c r="M162" s="27"/>
      <c r="N162" s="27"/>
      <c r="O162" s="27"/>
      <c r="P162" s="27"/>
      <c r="Q162" s="27"/>
      <c r="R162" s="27"/>
      <c r="S162" s="27"/>
      <c r="T162" s="27"/>
      <c r="U162" s="30"/>
      <c r="V162" s="40"/>
      <c r="W162" s="40"/>
      <c r="X162" s="117"/>
      <c r="Y162" s="117"/>
      <c r="Z162" s="117"/>
      <c r="AA162" s="117"/>
      <c r="AB162" s="117"/>
      <c r="AC162" s="117"/>
      <c r="AD162" s="18"/>
      <c r="AE162" s="5"/>
      <c r="AF162" s="5"/>
      <c r="AG162" s="5"/>
      <c r="AH162" s="51"/>
      <c r="AI162" s="5"/>
    </row>
    <row r="163" spans="1:35" s="28" customFormat="1" ht="12.75" x14ac:dyDescent="0.2">
      <c r="L163" s="30"/>
      <c r="M163" s="27"/>
      <c r="N163" s="27"/>
      <c r="O163" s="27"/>
      <c r="P163" s="27"/>
      <c r="Q163" s="27"/>
      <c r="R163" s="27"/>
      <c r="S163" s="27"/>
      <c r="T163" s="27"/>
      <c r="U163" s="30"/>
      <c r="V163" s="40"/>
      <c r="W163" s="40"/>
      <c r="X163" s="117"/>
      <c r="Y163" s="117"/>
      <c r="Z163" s="117"/>
      <c r="AA163" s="117"/>
      <c r="AB163" s="117"/>
      <c r="AC163" s="117"/>
      <c r="AD163" s="18"/>
      <c r="AE163" s="5"/>
      <c r="AF163" s="5"/>
      <c r="AG163" s="5"/>
      <c r="AH163" s="5"/>
      <c r="AI163" s="5"/>
    </row>
    <row r="164" spans="1:35" s="28" customFormat="1" ht="12.75" x14ac:dyDescent="0.2">
      <c r="L164" s="30"/>
      <c r="M164" s="27"/>
      <c r="N164" s="27"/>
      <c r="O164" s="27"/>
      <c r="P164" s="27"/>
      <c r="Q164" s="27"/>
      <c r="R164" s="27"/>
      <c r="S164" s="27"/>
      <c r="T164" s="27"/>
      <c r="U164" s="30"/>
      <c r="V164" s="40"/>
      <c r="W164" s="40"/>
      <c r="X164" s="30"/>
      <c r="Y164" s="52"/>
      <c r="Z164" s="52"/>
      <c r="AA164" s="52"/>
      <c r="AB164" s="52"/>
      <c r="AC164" s="52"/>
      <c r="AD164" s="5"/>
      <c r="AE164" s="5"/>
      <c r="AF164" s="5"/>
      <c r="AG164" s="5"/>
      <c r="AH164" s="5"/>
      <c r="AI164" s="5"/>
    </row>
    <row r="165" spans="1:35" s="28" customFormat="1" ht="12.75" x14ac:dyDescent="0.2">
      <c r="L165" s="30"/>
      <c r="M165" s="27"/>
      <c r="N165" s="27"/>
      <c r="O165" s="27"/>
      <c r="P165" s="27"/>
      <c r="Q165" s="27"/>
      <c r="R165" s="27"/>
      <c r="S165" s="27"/>
      <c r="T165" s="27"/>
      <c r="U165" s="30"/>
      <c r="V165" s="40"/>
      <c r="W165" s="40"/>
      <c r="X165" s="30"/>
      <c r="Y165" s="52"/>
      <c r="Z165" s="18"/>
      <c r="AA165" s="41"/>
      <c r="AB165" s="5"/>
      <c r="AC165" s="5"/>
      <c r="AD165" s="5"/>
      <c r="AE165" s="5"/>
      <c r="AF165" s="5"/>
      <c r="AG165" s="5"/>
      <c r="AH165" s="5"/>
      <c r="AI165" s="5"/>
    </row>
    <row r="166" spans="1:35" s="28" customFormat="1" ht="12.75" x14ac:dyDescent="0.2">
      <c r="L166" s="30"/>
      <c r="M166" s="27"/>
      <c r="N166" s="27"/>
      <c r="O166" s="27"/>
      <c r="P166" s="27"/>
      <c r="Q166" s="27"/>
      <c r="R166" s="27"/>
      <c r="S166" s="27"/>
      <c r="T166" s="27"/>
      <c r="U166" s="30"/>
      <c r="V166" s="40"/>
      <c r="W166" s="40"/>
      <c r="X166" s="30"/>
      <c r="Y166" s="18"/>
      <c r="Z166" s="51"/>
      <c r="AA166" s="55"/>
      <c r="AB166" s="51"/>
      <c r="AC166" s="5"/>
      <c r="AD166" s="5"/>
      <c r="AE166" s="5"/>
      <c r="AF166" s="5"/>
      <c r="AG166" s="5"/>
      <c r="AH166" s="5"/>
      <c r="AI166" s="5"/>
    </row>
    <row r="167" spans="1:35" s="28" customFormat="1" ht="12.75" x14ac:dyDescent="0.2">
      <c r="L167" s="30"/>
      <c r="M167" s="27"/>
      <c r="N167" s="27"/>
      <c r="O167" s="27"/>
      <c r="P167" s="27"/>
      <c r="Q167" s="27"/>
      <c r="R167" s="27"/>
      <c r="S167" s="27"/>
      <c r="T167" s="27"/>
      <c r="U167" s="30"/>
      <c r="V167" s="40"/>
      <c r="W167" s="40"/>
      <c r="X167" s="30"/>
      <c r="Y167" s="18"/>
      <c r="Z167" s="5"/>
      <c r="AA167" s="41"/>
      <c r="AB167" s="5"/>
      <c r="AC167" s="5"/>
      <c r="AD167" s="5"/>
      <c r="AE167" s="5"/>
      <c r="AF167" s="5"/>
      <c r="AG167" s="5"/>
      <c r="AH167" s="5"/>
      <c r="AI167" s="5"/>
    </row>
    <row r="168" spans="1:35" s="28" customFormat="1" ht="12.75" x14ac:dyDescent="0.2">
      <c r="L168" s="30"/>
      <c r="M168" s="27"/>
      <c r="N168" s="27"/>
      <c r="O168" s="27"/>
      <c r="P168" s="27"/>
      <c r="Q168" s="27"/>
      <c r="R168" s="27"/>
      <c r="S168" s="27"/>
      <c r="T168" s="27"/>
      <c r="U168" s="30"/>
      <c r="V168" s="40"/>
      <c r="W168" s="40"/>
      <c r="X168" s="30"/>
      <c r="Y168" s="5"/>
      <c r="Z168" s="5"/>
      <c r="AA168" s="5"/>
      <c r="AB168" s="5"/>
      <c r="AC168" s="5"/>
      <c r="AD168" s="5"/>
      <c r="AE168" s="5"/>
      <c r="AF168" s="5"/>
      <c r="AG168" s="5"/>
      <c r="AH168" s="5"/>
      <c r="AI168" s="5"/>
    </row>
    <row r="169" spans="1:35" s="28" customFormat="1" ht="12.75" x14ac:dyDescent="0.2">
      <c r="L169" s="30"/>
      <c r="M169" s="27"/>
      <c r="N169" s="27"/>
      <c r="O169" s="27"/>
      <c r="P169" s="27"/>
      <c r="Q169" s="27"/>
      <c r="R169" s="27"/>
      <c r="S169" s="27"/>
      <c r="T169" s="27"/>
      <c r="U169" s="30"/>
      <c r="V169" s="40"/>
      <c r="W169" s="40"/>
      <c r="X169" s="30"/>
    </row>
    <row r="170" spans="1:35" s="28" customFormat="1" ht="12.75" x14ac:dyDescent="0.2">
      <c r="L170" s="30"/>
      <c r="M170" s="27"/>
      <c r="N170" s="27"/>
      <c r="O170" s="27"/>
      <c r="P170" s="27"/>
      <c r="Q170" s="27"/>
      <c r="R170" s="27"/>
      <c r="S170" s="27"/>
      <c r="T170" s="27"/>
      <c r="U170" s="30"/>
      <c r="V170" s="40"/>
      <c r="W170" s="40"/>
      <c r="X170" s="30"/>
    </row>
    <row r="171" spans="1:35" s="28" customFormat="1" ht="12.75" x14ac:dyDescent="0.2">
      <c r="L171" s="30"/>
      <c r="M171" s="27"/>
      <c r="N171" s="27"/>
      <c r="O171" s="27"/>
      <c r="P171" s="27"/>
      <c r="Q171" s="27"/>
      <c r="R171" s="27"/>
      <c r="S171" s="27"/>
      <c r="T171" s="27"/>
      <c r="U171" s="30"/>
      <c r="V171" s="56"/>
      <c r="W171" s="40"/>
      <c r="X171" s="30"/>
    </row>
    <row r="172" spans="1:35" s="28" customFormat="1" ht="12.75" x14ac:dyDescent="0.2">
      <c r="A172" s="5"/>
      <c r="B172" s="46"/>
      <c r="C172" s="53"/>
      <c r="D172" s="43"/>
      <c r="E172" s="49"/>
      <c r="F172" s="40"/>
      <c r="G172" s="5"/>
      <c r="H172" s="49"/>
      <c r="I172" s="40"/>
      <c r="J172" s="47"/>
      <c r="K172" s="47"/>
      <c r="L172" s="30"/>
      <c r="M172" s="27"/>
      <c r="N172" s="27"/>
      <c r="O172" s="27"/>
      <c r="P172" s="27"/>
      <c r="Q172" s="27"/>
      <c r="R172" s="27"/>
      <c r="S172" s="27"/>
      <c r="T172" s="27"/>
      <c r="U172" s="30"/>
      <c r="V172" s="5"/>
      <c r="W172" s="5"/>
      <c r="X172" s="30"/>
    </row>
    <row r="173" spans="1:35" s="28" customFormat="1" ht="12.75" x14ac:dyDescent="0.2">
      <c r="A173" s="58"/>
      <c r="B173" s="59"/>
      <c r="C173" s="60"/>
      <c r="D173" s="58"/>
      <c r="E173" s="58"/>
      <c r="F173" s="58"/>
      <c r="G173" s="60"/>
      <c r="H173" s="58"/>
      <c r="I173" s="58"/>
      <c r="J173" s="58"/>
      <c r="K173" s="58"/>
      <c r="L173" s="30"/>
      <c r="M173" s="27"/>
      <c r="N173" s="27"/>
      <c r="O173" s="27"/>
      <c r="P173" s="27"/>
      <c r="Q173" s="27"/>
      <c r="R173" s="27"/>
      <c r="S173" s="27"/>
      <c r="T173" s="27"/>
      <c r="U173" s="30"/>
      <c r="V173" s="30"/>
      <c r="W173" s="30"/>
      <c r="X173" s="30"/>
    </row>
    <row r="174" spans="1:35" s="28" customFormat="1" ht="12.75" x14ac:dyDescent="0.2">
      <c r="A174" s="58"/>
      <c r="B174" s="59"/>
      <c r="C174" s="60"/>
      <c r="D174" s="58"/>
      <c r="E174" s="58"/>
      <c r="F174" s="58"/>
      <c r="G174" s="60"/>
      <c r="H174" s="58"/>
      <c r="I174" s="58"/>
      <c r="J174" s="58"/>
      <c r="K174" s="58"/>
      <c r="L174" s="30"/>
      <c r="M174" s="27"/>
      <c r="N174" s="27"/>
      <c r="O174" s="27"/>
      <c r="P174" s="27"/>
      <c r="Q174" s="27"/>
      <c r="R174" s="27"/>
      <c r="S174" s="27"/>
      <c r="T174" s="27"/>
      <c r="U174" s="30"/>
      <c r="V174" s="30"/>
      <c r="W174" s="30"/>
      <c r="X174" s="30"/>
    </row>
    <row r="175" spans="1:35" s="28" customFormat="1" ht="12.75" x14ac:dyDescent="0.2">
      <c r="A175" s="58"/>
      <c r="B175" s="59"/>
      <c r="C175" s="60"/>
      <c r="D175" s="58"/>
      <c r="E175" s="58"/>
      <c r="F175" s="58"/>
      <c r="G175" s="60"/>
      <c r="H175" s="58"/>
      <c r="I175" s="58"/>
      <c r="J175" s="58"/>
      <c r="K175" s="58"/>
      <c r="L175" s="30"/>
      <c r="M175" s="27"/>
      <c r="N175" s="27"/>
      <c r="O175" s="27"/>
      <c r="P175" s="27"/>
      <c r="Q175" s="27"/>
      <c r="R175" s="27"/>
      <c r="S175" s="27"/>
      <c r="T175" s="27"/>
      <c r="U175" s="30"/>
      <c r="V175" s="30"/>
      <c r="W175" s="30"/>
      <c r="X175" s="30"/>
    </row>
    <row r="176" spans="1:35" s="28" customFormat="1" ht="12.75" x14ac:dyDescent="0.2">
      <c r="A176" s="58"/>
      <c r="B176" s="59"/>
      <c r="C176" s="60"/>
      <c r="D176" s="58"/>
      <c r="E176" s="58"/>
      <c r="F176" s="58"/>
      <c r="G176" s="60"/>
      <c r="H176" s="58"/>
      <c r="I176" s="58"/>
      <c r="J176" s="58"/>
      <c r="K176" s="58"/>
      <c r="L176" s="30"/>
      <c r="M176" s="27"/>
      <c r="N176" s="27"/>
      <c r="O176" s="27"/>
      <c r="P176" s="27"/>
      <c r="Q176" s="27"/>
      <c r="R176" s="27"/>
      <c r="S176" s="27"/>
      <c r="T176" s="27"/>
      <c r="U176" s="30"/>
      <c r="V176" s="30"/>
      <c r="W176" s="30"/>
      <c r="X176" s="30"/>
    </row>
    <row r="177" spans="1:24" s="28" customFormat="1" ht="12.75" x14ac:dyDescent="0.2">
      <c r="A177" s="58"/>
      <c r="B177" s="59"/>
      <c r="C177" s="60"/>
      <c r="D177" s="58"/>
      <c r="E177" s="58"/>
      <c r="F177" s="58"/>
      <c r="G177" s="60"/>
      <c r="H177" s="58"/>
      <c r="I177" s="58"/>
      <c r="J177" s="58"/>
      <c r="K177" s="58"/>
      <c r="L177" s="30"/>
      <c r="M177" s="27"/>
      <c r="N177" s="27"/>
      <c r="O177" s="27"/>
      <c r="P177" s="27"/>
      <c r="Q177" s="27"/>
      <c r="R177" s="27"/>
      <c r="S177" s="27"/>
      <c r="T177" s="27"/>
      <c r="U177" s="30"/>
      <c r="V177" s="30"/>
      <c r="W177" s="30"/>
      <c r="X177" s="30"/>
    </row>
    <row r="178" spans="1:24" s="28" customFormat="1" ht="12.75" x14ac:dyDescent="0.2">
      <c r="A178" s="58"/>
      <c r="B178" s="59"/>
      <c r="C178" s="60"/>
      <c r="D178" s="58"/>
      <c r="E178" s="58"/>
      <c r="F178" s="58"/>
      <c r="G178" s="60"/>
      <c r="H178" s="58"/>
      <c r="I178" s="58"/>
      <c r="J178" s="58"/>
      <c r="K178" s="58"/>
      <c r="L178" s="30"/>
      <c r="M178" s="27"/>
      <c r="N178" s="27"/>
      <c r="O178" s="27"/>
      <c r="P178" s="27"/>
      <c r="Q178" s="27"/>
      <c r="R178" s="27"/>
      <c r="S178" s="27"/>
      <c r="T178" s="27"/>
      <c r="U178" s="30"/>
      <c r="V178" s="30"/>
      <c r="W178" s="30"/>
      <c r="X178" s="30"/>
    </row>
    <row r="179" spans="1:24" s="28" customFormat="1" ht="12.75" x14ac:dyDescent="0.2">
      <c r="A179" s="145" t="s">
        <v>118</v>
      </c>
      <c r="B179" s="146"/>
      <c r="C179" s="146"/>
      <c r="D179" s="146"/>
      <c r="E179" s="146"/>
      <c r="F179" s="146"/>
      <c r="G179" s="147"/>
      <c r="H179" s="147"/>
      <c r="I179" s="147"/>
      <c r="J179" s="147"/>
      <c r="K179" s="148"/>
      <c r="L179" s="30"/>
      <c r="M179" s="27"/>
      <c r="N179" s="27"/>
      <c r="O179" s="27"/>
      <c r="P179" s="27"/>
      <c r="Q179" s="27"/>
      <c r="R179" s="27"/>
      <c r="S179" s="27"/>
      <c r="T179" s="27"/>
      <c r="U179" s="30"/>
      <c r="V179" s="30"/>
      <c r="W179" s="30"/>
      <c r="X179" s="30"/>
    </row>
    <row r="180" spans="1:24" s="28" customFormat="1" ht="12.75" x14ac:dyDescent="0.2">
      <c r="A180" s="149"/>
      <c r="B180" s="149"/>
      <c r="C180" s="149"/>
      <c r="D180" s="150"/>
      <c r="E180" s="150"/>
      <c r="F180" s="151" t="s">
        <v>119</v>
      </c>
      <c r="G180" s="152" t="s">
        <v>120</v>
      </c>
      <c r="H180" s="153"/>
      <c r="I180" s="154"/>
      <c r="J180" s="154"/>
      <c r="K180" s="155"/>
      <c r="L180" s="30"/>
      <c r="M180" s="27"/>
      <c r="N180" s="27"/>
      <c r="O180" s="27"/>
      <c r="P180" s="27"/>
      <c r="Q180" s="27"/>
      <c r="R180" s="27"/>
      <c r="S180" s="27"/>
      <c r="T180" s="27"/>
      <c r="U180" s="30"/>
      <c r="V180" s="30"/>
      <c r="W180" s="30"/>
      <c r="X180" s="30"/>
    </row>
    <row r="181" spans="1:24" s="26" customFormat="1" ht="12.75" x14ac:dyDescent="0.2">
      <c r="M181" s="27"/>
      <c r="N181" s="27"/>
      <c r="O181" s="27"/>
      <c r="P181" s="27"/>
      <c r="Q181" s="27"/>
      <c r="R181" s="27"/>
      <c r="S181" s="27"/>
      <c r="T181" s="27"/>
    </row>
    <row r="182" spans="1:24" s="26" customFormat="1" ht="12.75" x14ac:dyDescent="0.2">
      <c r="M182" s="27"/>
      <c r="N182" s="27"/>
      <c r="O182" s="27"/>
      <c r="P182" s="27"/>
      <c r="Q182" s="27"/>
      <c r="R182" s="27"/>
      <c r="S182" s="27"/>
      <c r="T182" s="27"/>
    </row>
    <row r="183" spans="1:24" s="26" customFormat="1" ht="12.75" x14ac:dyDescent="0.2">
      <c r="M183" s="27"/>
      <c r="N183" s="27"/>
      <c r="O183" s="27"/>
      <c r="P183" s="27"/>
      <c r="Q183" s="27"/>
      <c r="R183" s="27"/>
      <c r="S183" s="27"/>
      <c r="T183" s="27"/>
    </row>
    <row r="184" spans="1:24" s="26" customFormat="1" ht="12.75" x14ac:dyDescent="0.2">
      <c r="M184" s="27"/>
      <c r="N184" s="27"/>
      <c r="O184" s="27"/>
      <c r="P184" s="27"/>
      <c r="Q184" s="27"/>
      <c r="R184" s="27"/>
      <c r="S184" s="27"/>
      <c r="T184" s="27"/>
    </row>
    <row r="185" spans="1:24" s="26" customFormat="1" ht="12.75" x14ac:dyDescent="0.2">
      <c r="M185" s="27"/>
      <c r="N185" s="27"/>
      <c r="O185" s="27"/>
      <c r="P185" s="27"/>
      <c r="Q185" s="27"/>
      <c r="R185" s="27"/>
      <c r="S185" s="27"/>
      <c r="T185" s="27"/>
    </row>
    <row r="186" spans="1:24" s="26" customFormat="1" ht="12.75" x14ac:dyDescent="0.2">
      <c r="M186" s="27"/>
      <c r="N186" s="27"/>
      <c r="O186" s="27"/>
      <c r="P186" s="27"/>
      <c r="Q186" s="27"/>
      <c r="R186" s="27"/>
      <c r="S186" s="27"/>
      <c r="T186" s="27"/>
    </row>
    <row r="187" spans="1:24" s="26" customFormat="1" ht="12.75" x14ac:dyDescent="0.2">
      <c r="M187" s="27"/>
      <c r="N187" s="27"/>
      <c r="O187" s="27"/>
      <c r="P187" s="27"/>
      <c r="Q187" s="27"/>
      <c r="R187" s="27"/>
      <c r="S187" s="27"/>
      <c r="T187" s="27"/>
    </row>
    <row r="188" spans="1:24" s="26" customFormat="1" ht="12.75" x14ac:dyDescent="0.2">
      <c r="M188" s="27"/>
      <c r="N188" s="27"/>
      <c r="O188" s="27"/>
      <c r="P188" s="27"/>
      <c r="Q188" s="27"/>
      <c r="R188" s="27"/>
      <c r="S188" s="27"/>
      <c r="T188" s="27"/>
    </row>
    <row r="189" spans="1:24" s="26" customFormat="1" ht="12.75" x14ac:dyDescent="0.2">
      <c r="M189" s="27"/>
      <c r="N189" s="27"/>
      <c r="O189" s="27"/>
      <c r="P189" s="27"/>
      <c r="Q189" s="27"/>
      <c r="R189" s="27"/>
      <c r="S189" s="27"/>
      <c r="T189" s="27"/>
    </row>
    <row r="190" spans="1:24" s="26" customFormat="1" ht="12.75" x14ac:dyDescent="0.2">
      <c r="M190" s="27"/>
      <c r="N190" s="27"/>
      <c r="O190" s="27"/>
      <c r="P190" s="27"/>
      <c r="Q190" s="27"/>
      <c r="R190" s="27"/>
      <c r="S190" s="27"/>
      <c r="T190" s="27"/>
    </row>
    <row r="191" spans="1:24" s="26" customFormat="1" ht="12.75" x14ac:dyDescent="0.2">
      <c r="M191" s="27"/>
      <c r="N191" s="27"/>
      <c r="O191" s="27"/>
      <c r="P191" s="27"/>
      <c r="Q191" s="27"/>
      <c r="R191" s="27"/>
      <c r="S191" s="27"/>
      <c r="T191" s="27"/>
    </row>
    <row r="192" spans="1:24"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sheetData>
  <dataValidations count="1">
    <dataValidation type="list" allowBlank="1" showInputMessage="1" showErrorMessage="1" sqref="C102 C149">
      <formula1>"Normal,Utility,Acrobatic"</formula1>
    </dataValidation>
  </dataValidations>
  <hyperlinks>
    <hyperlink ref="G64" r:id="rId1"/>
    <hyperlink ref="G123" r:id="rId2"/>
    <hyperlink ref="G180" r:id="rId3"/>
  </hyperlinks>
  <pageMargins left="0.47244094488188998" right="0.23622047244094499" top="0.31496062992126" bottom="0.25" header="0.43307086614173201" footer="0.25"/>
  <pageSetup orientation="portrait" r:id="rId4"/>
  <headerFooter alignWithMargins="0"/>
  <rowBreaks count="2" manualBreakCount="2">
    <brk id="64" max="10" man="1"/>
    <brk id="123" max="10" man="1"/>
  </row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READ ME</vt:lpstr>
      <vt:lpstr>Analysis</vt:lpstr>
      <vt:lpstr>Aileron Load</vt:lpstr>
      <vt:lpstr>Elevator Load</vt:lpstr>
      <vt:lpstr>Tab Load</vt:lpstr>
      <vt:lpstr>Rudder Load</vt:lpstr>
      <vt:lpstr>Flap Load</vt:lpstr>
      <vt:lpstr>'Aileron Load'!Print_Area</vt:lpstr>
      <vt:lpstr>Analysis!Print_Area</vt:lpstr>
      <vt:lpstr>'Elevator Load'!Print_Area</vt:lpstr>
      <vt:lpstr>'Flap Load'!Print_Area</vt:lpstr>
      <vt:lpstr>'READ ME'!Print_Area</vt:lpstr>
      <vt:lpstr>'Rudder Load'!Print_Area</vt:lpstr>
      <vt:lpstr>'Tab Load'!Print_Area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2017-03-06T01:18:09Z</cp:lastPrinted>
  <dcterms:created xsi:type="dcterms:W3CDTF">1996-10-14T23:33:28Z</dcterms:created>
  <dcterms:modified xsi:type="dcterms:W3CDTF">2017-03-06T02:00:19Z</dcterms:modified>
  <cp:category>Engineering Spreadsheets</cp:category>
</cp:coreProperties>
</file>