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6600" yWindow="-285" windowWidth="19425" windowHeight="11850" activeTab="2"/>
  </bookViews>
  <sheets>
    <sheet name="READ ME" sheetId="14" r:id="rId1"/>
    <sheet name="DV-IDENTITY-0" sheetId="7" state="veryHidden" r:id="rId2"/>
    <sheet name="Main - US" sheetId="11" r:id="rId3"/>
  </sheets>
  <externalReferences>
    <externalReference r:id="rId4"/>
  </externalReferences>
  <definedNames>
    <definedName name="_xlnm.Print_Area" localSheetId="2">'Main - US'!$A$8:$K$118</definedName>
    <definedName name="_xlnm.Print_Area" localSheetId="0">'READ ME'!$A$8:$K$62</definedName>
    <definedName name="sencount" hidden="1">1</definedName>
  </definedNames>
  <calcPr calcId="171027"/>
</workbook>
</file>

<file path=xl/calcChain.xml><?xml version="1.0" encoding="utf-8"?>
<calcChain xmlns="http://schemas.openxmlformats.org/spreadsheetml/2006/main">
  <c r="B110" i="11" l="1"/>
  <c r="C110" i="11"/>
  <c r="E110" i="11"/>
  <c r="F110" i="11"/>
  <c r="H110" i="11"/>
  <c r="I110" i="11"/>
  <c r="B111" i="11"/>
  <c r="C111" i="11"/>
  <c r="E111" i="11"/>
  <c r="F111" i="11"/>
  <c r="H111" i="11"/>
  <c r="I111" i="11"/>
  <c r="B112" i="11"/>
  <c r="C112" i="11"/>
  <c r="E112" i="11"/>
  <c r="F112" i="11"/>
  <c r="H112" i="11"/>
  <c r="I112" i="11"/>
  <c r="B113" i="11"/>
  <c r="C113" i="11"/>
  <c r="E113" i="11"/>
  <c r="F113" i="11"/>
  <c r="H113" i="11"/>
  <c r="I113" i="11"/>
  <c r="B98" i="11"/>
  <c r="C98" i="11"/>
  <c r="E98" i="11"/>
  <c r="F98" i="11"/>
  <c r="H98" i="11"/>
  <c r="I98" i="11"/>
  <c r="B99" i="11"/>
  <c r="C99" i="11"/>
  <c r="E99" i="11"/>
  <c r="F99" i="11"/>
  <c r="H99" i="11"/>
  <c r="I99" i="11"/>
  <c r="B100" i="11"/>
  <c r="C100" i="11"/>
  <c r="E100" i="11"/>
  <c r="F100" i="11"/>
  <c r="H100" i="11"/>
  <c r="I100" i="11"/>
  <c r="B101" i="11"/>
  <c r="C101" i="11"/>
  <c r="E101" i="11"/>
  <c r="F101" i="11"/>
  <c r="H101" i="11"/>
  <c r="I101" i="11"/>
  <c r="B102" i="11"/>
  <c r="C102" i="11"/>
  <c r="E102" i="11"/>
  <c r="F102" i="11"/>
  <c r="H102" i="11"/>
  <c r="I102" i="11"/>
  <c r="B103" i="11"/>
  <c r="C103" i="11"/>
  <c r="E103" i="11"/>
  <c r="F103" i="11"/>
  <c r="H103" i="11"/>
  <c r="I103" i="11"/>
  <c r="B104" i="11"/>
  <c r="C104" i="11"/>
  <c r="E104" i="11"/>
  <c r="F104" i="11"/>
  <c r="H104" i="11"/>
  <c r="I104" i="11"/>
  <c r="B105" i="11"/>
  <c r="C105" i="11"/>
  <c r="E105" i="11"/>
  <c r="F105" i="11"/>
  <c r="H105" i="11"/>
  <c r="I105" i="11"/>
  <c r="B106" i="11"/>
  <c r="C106" i="11"/>
  <c r="E106" i="11"/>
  <c r="F106" i="11"/>
  <c r="H106" i="11"/>
  <c r="I106" i="11"/>
  <c r="B107" i="11"/>
  <c r="C107" i="11"/>
  <c r="E107" i="11"/>
  <c r="F107" i="11"/>
  <c r="H107" i="11"/>
  <c r="I107" i="11"/>
  <c r="B108" i="11"/>
  <c r="C108" i="11"/>
  <c r="E108" i="11"/>
  <c r="F108" i="11"/>
  <c r="H108" i="11"/>
  <c r="I108" i="11"/>
  <c r="B109" i="11"/>
  <c r="C109" i="11"/>
  <c r="E109" i="11"/>
  <c r="F109" i="11"/>
  <c r="H109" i="11"/>
  <c r="I109" i="11"/>
  <c r="B74" i="11"/>
  <c r="C74" i="11"/>
  <c r="E74" i="11"/>
  <c r="F74" i="11"/>
  <c r="H74" i="11"/>
  <c r="I74" i="11"/>
  <c r="B75" i="11"/>
  <c r="C75" i="11"/>
  <c r="E75" i="11"/>
  <c r="F75" i="11"/>
  <c r="H75" i="11"/>
  <c r="I75" i="11"/>
  <c r="B76" i="11"/>
  <c r="C76" i="11"/>
  <c r="E76" i="11"/>
  <c r="F76" i="11"/>
  <c r="H76" i="11"/>
  <c r="I76" i="11"/>
  <c r="B77" i="11"/>
  <c r="C77" i="11"/>
  <c r="E77" i="11"/>
  <c r="F77" i="11"/>
  <c r="H77" i="11"/>
  <c r="I77" i="11"/>
  <c r="B78" i="11"/>
  <c r="C78" i="11"/>
  <c r="E78" i="11"/>
  <c r="F78" i="11"/>
  <c r="H78" i="11"/>
  <c r="I78" i="11"/>
  <c r="B79" i="11"/>
  <c r="C79" i="11"/>
  <c r="E79" i="11"/>
  <c r="F79" i="11"/>
  <c r="H79" i="11"/>
  <c r="I79" i="11"/>
  <c r="B80" i="11"/>
  <c r="C80" i="11"/>
  <c r="E80" i="11"/>
  <c r="F80" i="11"/>
  <c r="H80" i="11"/>
  <c r="I80" i="11"/>
  <c r="B81" i="11"/>
  <c r="C81" i="11"/>
  <c r="E81" i="11"/>
  <c r="F81" i="11"/>
  <c r="H81" i="11"/>
  <c r="I81" i="11"/>
  <c r="B82" i="11"/>
  <c r="C82" i="11"/>
  <c r="E82" i="11"/>
  <c r="F82" i="11"/>
  <c r="H82" i="11"/>
  <c r="I82" i="11"/>
  <c r="B83" i="11"/>
  <c r="C83" i="11"/>
  <c r="E83" i="11"/>
  <c r="F83" i="11"/>
  <c r="H83" i="11"/>
  <c r="I83" i="11"/>
  <c r="B84" i="11"/>
  <c r="C84" i="11"/>
  <c r="E84" i="11"/>
  <c r="F84" i="11"/>
  <c r="H84" i="11"/>
  <c r="I84" i="11"/>
  <c r="B85" i="11"/>
  <c r="C85" i="11"/>
  <c r="E85" i="11"/>
  <c r="F85" i="11"/>
  <c r="H85" i="11"/>
  <c r="I85" i="11"/>
  <c r="B86" i="11"/>
  <c r="C86" i="11"/>
  <c r="E86" i="11"/>
  <c r="F86" i="11"/>
  <c r="H86" i="11"/>
  <c r="I86" i="11"/>
  <c r="B87" i="11"/>
  <c r="C87" i="11"/>
  <c r="E87" i="11"/>
  <c r="F87" i="11"/>
  <c r="H87" i="11"/>
  <c r="I87" i="11"/>
  <c r="B88" i="11"/>
  <c r="C88" i="11"/>
  <c r="E88" i="11"/>
  <c r="F88" i="11"/>
  <c r="H88" i="11"/>
  <c r="I88" i="11"/>
  <c r="B89" i="11"/>
  <c r="C89" i="11"/>
  <c r="E89" i="11"/>
  <c r="F89" i="11"/>
  <c r="H89" i="11"/>
  <c r="I89" i="11"/>
  <c r="B90" i="11"/>
  <c r="C90" i="11"/>
  <c r="E90" i="11"/>
  <c r="F90" i="11"/>
  <c r="H90" i="11"/>
  <c r="I90" i="11"/>
  <c r="B91" i="11"/>
  <c r="C91" i="11"/>
  <c r="E91" i="11"/>
  <c r="F91" i="11"/>
  <c r="H91" i="11"/>
  <c r="I91" i="11"/>
  <c r="B92" i="11"/>
  <c r="C92" i="11"/>
  <c r="E92" i="11"/>
  <c r="F92" i="11"/>
  <c r="H92" i="11"/>
  <c r="I92" i="11"/>
  <c r="B93" i="11"/>
  <c r="C93" i="11"/>
  <c r="E93" i="11"/>
  <c r="F93" i="11"/>
  <c r="H93" i="11"/>
  <c r="I93" i="11"/>
  <c r="B94" i="11"/>
  <c r="C94" i="11"/>
  <c r="E94" i="11"/>
  <c r="F94" i="11"/>
  <c r="H94" i="11"/>
  <c r="I94" i="11"/>
  <c r="B95" i="11"/>
  <c r="C95" i="11"/>
  <c r="E95" i="11"/>
  <c r="F95" i="11"/>
  <c r="H95" i="11"/>
  <c r="I95" i="11"/>
  <c r="B96" i="11"/>
  <c r="C96" i="11"/>
  <c r="E96" i="11"/>
  <c r="F96" i="11"/>
  <c r="H96" i="11"/>
  <c r="I96" i="11"/>
  <c r="B97" i="11"/>
  <c r="C97" i="11"/>
  <c r="E97" i="11"/>
  <c r="F97" i="11"/>
  <c r="H97" i="11"/>
  <c r="I97" i="11"/>
  <c r="I73" i="11"/>
  <c r="H73" i="11"/>
  <c r="F73" i="11"/>
  <c r="E73" i="11"/>
  <c r="C73" i="11"/>
  <c r="B73" i="11"/>
  <c r="W57" i="11"/>
  <c r="E54" i="11"/>
  <c r="W56" i="11"/>
  <c r="W55" i="11"/>
  <c r="W54" i="11"/>
  <c r="W53" i="11"/>
  <c r="W52" i="11"/>
  <c r="W51" i="11"/>
  <c r="W50" i="11"/>
  <c r="W49" i="11"/>
  <c r="W48" i="11"/>
  <c r="W47" i="11"/>
  <c r="W46" i="11"/>
  <c r="W45" i="11"/>
  <c r="W44" i="11"/>
  <c r="W43" i="11"/>
  <c r="W42" i="11"/>
  <c r="W41" i="11"/>
  <c r="W40" i="11"/>
  <c r="W39" i="11"/>
  <c r="W38" i="11"/>
  <c r="W37" i="11"/>
  <c r="W36" i="11"/>
  <c r="W35" i="11"/>
  <c r="W34" i="11"/>
  <c r="W33" i="11" l="1"/>
  <c r="C30" i="11"/>
  <c r="Z40" i="11" s="1"/>
  <c r="W32" i="11"/>
  <c r="C29" i="11"/>
  <c r="C32" i="11" s="1"/>
  <c r="W31" i="11"/>
  <c r="C28" i="11"/>
  <c r="X33" i="11" s="1"/>
  <c r="W30" i="11"/>
  <c r="W29" i="11"/>
  <c r="W28" i="11"/>
  <c r="W27" i="11"/>
  <c r="W26" i="11"/>
  <c r="W25" i="11"/>
  <c r="W24" i="11"/>
  <c r="W23" i="11"/>
  <c r="W22" i="11"/>
  <c r="W21" i="11"/>
  <c r="W20" i="11"/>
  <c r="W19" i="11"/>
  <c r="W18" i="11"/>
  <c r="AR17" i="11"/>
  <c r="AO17" i="11"/>
  <c r="AR58" i="11" s="1"/>
  <c r="AN17" i="11"/>
  <c r="AQ58" i="11" s="1"/>
  <c r="AM17" i="11"/>
  <c r="AL17" i="11"/>
  <c r="AQ17" i="11" s="1"/>
  <c r="W17" i="11"/>
  <c r="B67" i="11"/>
  <c r="F66" i="11"/>
  <c r="L65" i="11"/>
  <c r="F65" i="11"/>
  <c r="J64" i="11"/>
  <c r="F64" i="11"/>
  <c r="J63" i="11"/>
  <c r="F63" i="11"/>
  <c r="C31" i="11"/>
  <c r="AA19" i="11" l="1"/>
  <c r="X24" i="11"/>
  <c r="Z25" i="11"/>
  <c r="AA25" i="11"/>
  <c r="Z21" i="11"/>
  <c r="AA26" i="11"/>
  <c r="X27" i="11"/>
  <c r="Z33" i="11"/>
  <c r="AC33" i="11" s="1"/>
  <c r="Z15" i="11"/>
  <c r="AC21" i="11" s="1"/>
  <c r="X18" i="11"/>
  <c r="Z23" i="11"/>
  <c r="AC23" i="11" s="1"/>
  <c r="AD23" i="11" s="1"/>
  <c r="Z29" i="11"/>
  <c r="Z41" i="11"/>
  <c r="X29" i="11"/>
  <c r="AA21" i="11"/>
  <c r="X26" i="11"/>
  <c r="X32" i="11"/>
  <c r="AA18" i="11"/>
  <c r="X21" i="11"/>
  <c r="Z24" i="11"/>
  <c r="AC24" i="11" s="1"/>
  <c r="Z26" i="11"/>
  <c r="AC26" i="11" s="1"/>
  <c r="Z32" i="11"/>
  <c r="AC32" i="11" s="1"/>
  <c r="Z18" i="11"/>
  <c r="AC18" i="11" s="1"/>
  <c r="AA24" i="11"/>
  <c r="Z31" i="11"/>
  <c r="AC31" i="11" s="1"/>
  <c r="AA27" i="11"/>
  <c r="X31" i="11"/>
  <c r="X19" i="11"/>
  <c r="AA23" i="11"/>
  <c r="AA31" i="11"/>
  <c r="AD26" i="11"/>
  <c r="AD18" i="11"/>
  <c r="AD31" i="11"/>
  <c r="AC40" i="11"/>
  <c r="AC41" i="11"/>
  <c r="Z19" i="11"/>
  <c r="AC19" i="11" s="1"/>
  <c r="X20" i="11"/>
  <c r="AC25" i="11"/>
  <c r="Z27" i="11"/>
  <c r="AC27" i="11" s="1"/>
  <c r="X28" i="11"/>
  <c r="AA32" i="11"/>
  <c r="Z56" i="11"/>
  <c r="Z53" i="11"/>
  <c r="Z52" i="11"/>
  <c r="X17" i="11"/>
  <c r="AA20" i="11"/>
  <c r="X22" i="11"/>
  <c r="AA28" i="11"/>
  <c r="X30" i="11"/>
  <c r="X51" i="11"/>
  <c r="X43" i="11"/>
  <c r="X35" i="11"/>
  <c r="X57" i="11"/>
  <c r="X50" i="11"/>
  <c r="X42" i="11"/>
  <c r="X49" i="11"/>
  <c r="X41" i="11"/>
  <c r="X34" i="11"/>
  <c r="X56" i="11"/>
  <c r="X48" i="11"/>
  <c r="X40" i="11"/>
  <c r="X36" i="11"/>
  <c r="X55" i="11"/>
  <c r="X47" i="11"/>
  <c r="X39" i="11"/>
  <c r="X54" i="11"/>
  <c r="X46" i="11"/>
  <c r="X38" i="11"/>
  <c r="X53" i="11"/>
  <c r="X45" i="11"/>
  <c r="X37" i="11"/>
  <c r="X52" i="11"/>
  <c r="X44" i="11"/>
  <c r="AA33" i="11"/>
  <c r="Z48" i="11"/>
  <c r="Z44" i="11"/>
  <c r="AC44" i="11" s="1"/>
  <c r="Z34" i="11"/>
  <c r="AC34" i="11" s="1"/>
  <c r="Z17" i="11"/>
  <c r="AC17" i="11" s="1"/>
  <c r="Z22" i="11"/>
  <c r="AC22" i="11" s="1"/>
  <c r="X23" i="11"/>
  <c r="AA29" i="11"/>
  <c r="Z30" i="11"/>
  <c r="AC30" i="11" s="1"/>
  <c r="AA22" i="11"/>
  <c r="AC29" i="11"/>
  <c r="AA30" i="11"/>
  <c r="Z45" i="11"/>
  <c r="AC45" i="11" s="1"/>
  <c r="Z28" i="11"/>
  <c r="AC28" i="11" s="1"/>
  <c r="AA17" i="11"/>
  <c r="AD21" i="11"/>
  <c r="X25" i="11"/>
  <c r="Z20" i="11"/>
  <c r="AC20" i="11" s="1"/>
  <c r="Z57" i="11"/>
  <c r="Z50" i="11"/>
  <c r="AA49" i="11"/>
  <c r="AC49" i="11" s="1"/>
  <c r="Z42" i="11"/>
  <c r="AC42" i="11" s="1"/>
  <c r="AA41" i="11"/>
  <c r="AA56" i="11"/>
  <c r="AC56" i="11" s="1"/>
  <c r="AA48" i="11"/>
  <c r="AC48" i="11" s="1"/>
  <c r="AA40" i="11"/>
  <c r="AA45" i="11"/>
  <c r="AA37" i="11"/>
  <c r="AA55" i="11"/>
  <c r="AC55" i="11" s="1"/>
  <c r="AA47" i="11"/>
  <c r="AC47" i="11" s="1"/>
  <c r="AA39" i="11"/>
  <c r="AA50" i="11"/>
  <c r="AC50" i="11" s="1"/>
  <c r="Z43" i="11"/>
  <c r="AC43" i="11" s="1"/>
  <c r="Z55" i="11"/>
  <c r="AA54" i="11"/>
  <c r="AC54" i="11" s="1"/>
  <c r="Z47" i="11"/>
  <c r="AA46" i="11"/>
  <c r="AC46" i="11" s="1"/>
  <c r="Z39" i="11"/>
  <c r="AC39" i="11" s="1"/>
  <c r="AA38" i="11"/>
  <c r="Z38" i="11"/>
  <c r="AC38" i="11" s="1"/>
  <c r="Z54" i="11"/>
  <c r="AA53" i="11"/>
  <c r="AC53" i="11" s="1"/>
  <c r="Z46" i="11"/>
  <c r="AA52" i="11"/>
  <c r="AC52" i="11" s="1"/>
  <c r="AA44" i="11"/>
  <c r="AA36" i="11"/>
  <c r="AA57" i="11"/>
  <c r="AC57" i="11" s="1"/>
  <c r="AA42" i="11"/>
  <c r="AA34" i="11"/>
  <c r="AA51" i="11"/>
  <c r="AC51" i="11" s="1"/>
  <c r="AA43" i="11"/>
  <c r="AA35" i="11"/>
  <c r="Z51" i="11"/>
  <c r="Z35" i="11"/>
  <c r="AC35" i="11" s="1"/>
  <c r="Z37" i="11"/>
  <c r="AC37" i="11" s="1"/>
  <c r="Z36" i="11"/>
  <c r="AC36" i="11" s="1"/>
  <c r="Z49" i="11"/>
  <c r="C12" i="14"/>
  <c r="AD32" i="11" l="1"/>
  <c r="AG32" i="11"/>
  <c r="AH32" i="11" s="1"/>
  <c r="AL32" i="11" s="1"/>
  <c r="AG24" i="11"/>
  <c r="AJ24" i="11" s="1"/>
  <c r="AN24" i="11" s="1"/>
  <c r="AD24" i="11"/>
  <c r="AD22" i="11"/>
  <c r="AG22" i="11"/>
  <c r="AJ22" i="11" s="1"/>
  <c r="AN22" i="11" s="1"/>
  <c r="AG23" i="11"/>
  <c r="AJ23" i="11" s="1"/>
  <c r="AN23" i="11" s="1"/>
  <c r="AQ55" i="11" s="1"/>
  <c r="AG36" i="11"/>
  <c r="AI36" i="11" s="1"/>
  <c r="AM36" i="11" s="1"/>
  <c r="AD36" i="11"/>
  <c r="AD17" i="11"/>
  <c r="AG18" i="11"/>
  <c r="AG37" i="11"/>
  <c r="AH37" i="11" s="1"/>
  <c r="AL37" i="11" s="1"/>
  <c r="AQ27" i="11" s="1"/>
  <c r="AD37" i="11"/>
  <c r="AG34" i="11"/>
  <c r="AK34" i="11" s="1"/>
  <c r="AO34" i="11" s="1"/>
  <c r="AD34" i="11"/>
  <c r="AG20" i="11"/>
  <c r="AK20" i="11" s="1"/>
  <c r="AO20" i="11" s="1"/>
  <c r="AD20" i="11"/>
  <c r="AG21" i="11"/>
  <c r="AG50" i="11"/>
  <c r="AK50" i="11" s="1"/>
  <c r="AO50" i="11" s="1"/>
  <c r="AD50" i="11"/>
  <c r="AD35" i="11"/>
  <c r="AG35" i="11"/>
  <c r="AI35" i="11" s="1"/>
  <c r="AM35" i="11" s="1"/>
  <c r="AR26" i="11" s="1"/>
  <c r="AG42" i="11"/>
  <c r="AK42" i="11" s="1"/>
  <c r="AO42" i="11" s="1"/>
  <c r="AD42" i="11"/>
  <c r="AG44" i="11"/>
  <c r="AI44" i="11" s="1"/>
  <c r="AM44" i="11" s="1"/>
  <c r="AD44" i="11"/>
  <c r="AD47" i="11"/>
  <c r="AG47" i="11"/>
  <c r="AI47" i="11" s="1"/>
  <c r="AM47" i="11" s="1"/>
  <c r="AR32" i="11" s="1"/>
  <c r="AD30" i="11"/>
  <c r="AG30" i="11"/>
  <c r="AI30" i="11" s="1"/>
  <c r="AM30" i="11" s="1"/>
  <c r="AG31" i="11"/>
  <c r="AD55" i="11"/>
  <c r="AG55" i="11"/>
  <c r="AK55" i="11" s="1"/>
  <c r="AO55" i="11" s="1"/>
  <c r="AR39" i="11" s="1"/>
  <c r="AG49" i="11"/>
  <c r="AK49" i="11" s="1"/>
  <c r="AO49" i="11" s="1"/>
  <c r="AR42" i="11" s="1"/>
  <c r="AD49" i="11"/>
  <c r="AG45" i="11"/>
  <c r="AI45" i="11" s="1"/>
  <c r="AM45" i="11" s="1"/>
  <c r="AR31" i="11" s="1"/>
  <c r="AD45" i="11"/>
  <c r="AG19" i="11"/>
  <c r="AK19" i="11" s="1"/>
  <c r="AO19" i="11" s="1"/>
  <c r="AR57" i="11" s="1"/>
  <c r="AD19" i="11"/>
  <c r="AG54" i="11"/>
  <c r="AJ54" i="11" s="1"/>
  <c r="AN54" i="11" s="1"/>
  <c r="AD54" i="11"/>
  <c r="AG38" i="11"/>
  <c r="AI38" i="11" s="1"/>
  <c r="AM38" i="11" s="1"/>
  <c r="AD38" i="11"/>
  <c r="AK38" i="11"/>
  <c r="AO38" i="11" s="1"/>
  <c r="AG27" i="11"/>
  <c r="AK27" i="11" s="1"/>
  <c r="AO27" i="11" s="1"/>
  <c r="AR53" i="11" s="1"/>
  <c r="AD27" i="11"/>
  <c r="AG57" i="11"/>
  <c r="AK57" i="11" s="1"/>
  <c r="AO57" i="11" s="1"/>
  <c r="AR38" i="11" s="1"/>
  <c r="AD57" i="11"/>
  <c r="AD39" i="11"/>
  <c r="AG39" i="11"/>
  <c r="AK39" i="11" s="1"/>
  <c r="AO39" i="11" s="1"/>
  <c r="AR47" i="11" s="1"/>
  <c r="AG52" i="11"/>
  <c r="AI52" i="11" s="1"/>
  <c r="AM52" i="11" s="1"/>
  <c r="AD52" i="11"/>
  <c r="AG41" i="11"/>
  <c r="AK41" i="11" s="1"/>
  <c r="AO41" i="11" s="1"/>
  <c r="AR46" i="11" s="1"/>
  <c r="AD41" i="11"/>
  <c r="AJ44" i="11"/>
  <c r="AN44" i="11" s="1"/>
  <c r="AH44" i="11"/>
  <c r="AL44" i="11" s="1"/>
  <c r="AJ39" i="11"/>
  <c r="AN39" i="11" s="1"/>
  <c r="AQ47" i="11" s="1"/>
  <c r="AD25" i="11"/>
  <c r="AG25" i="11"/>
  <c r="AJ25" i="11" s="1"/>
  <c r="AN25" i="11" s="1"/>
  <c r="AQ54" i="11" s="1"/>
  <c r="AD48" i="11"/>
  <c r="AG48" i="11"/>
  <c r="AK48" i="11" s="1"/>
  <c r="AO48" i="11" s="1"/>
  <c r="AG28" i="11"/>
  <c r="AH28" i="11" s="1"/>
  <c r="AL28" i="11" s="1"/>
  <c r="AD28" i="11"/>
  <c r="AK28" i="11"/>
  <c r="AO28" i="11" s="1"/>
  <c r="AI28" i="11"/>
  <c r="AM28" i="11" s="1"/>
  <c r="AG56" i="11"/>
  <c r="AK56" i="11" s="1"/>
  <c r="AO56" i="11" s="1"/>
  <c r="AD56" i="11"/>
  <c r="AJ47" i="11"/>
  <c r="AN47" i="11" s="1"/>
  <c r="AQ43" i="11" s="1"/>
  <c r="AH47" i="11"/>
  <c r="AL47" i="11" s="1"/>
  <c r="AQ32" i="11" s="1"/>
  <c r="AH49" i="11"/>
  <c r="AL49" i="11" s="1"/>
  <c r="AQ33" i="11" s="1"/>
  <c r="AJ49" i="11"/>
  <c r="AN49" i="11" s="1"/>
  <c r="AQ42" i="11" s="1"/>
  <c r="AK24" i="11"/>
  <c r="AO24" i="11" s="1"/>
  <c r="AG53" i="11"/>
  <c r="AK53" i="11" s="1"/>
  <c r="AO53" i="11" s="1"/>
  <c r="AR40" i="11" s="1"/>
  <c r="AD53" i="11"/>
  <c r="AJ55" i="11"/>
  <c r="AN55" i="11" s="1"/>
  <c r="AQ39" i="11" s="1"/>
  <c r="AH55" i="11"/>
  <c r="AL55" i="11" s="1"/>
  <c r="AQ36" i="11" s="1"/>
  <c r="AJ42" i="11"/>
  <c r="AN42" i="11" s="1"/>
  <c r="AH50" i="11"/>
  <c r="AL50" i="11" s="1"/>
  <c r="AJ50" i="11"/>
  <c r="AN50" i="11" s="1"/>
  <c r="AI32" i="11"/>
  <c r="AM32" i="11" s="1"/>
  <c r="AJ32" i="11"/>
  <c r="AN32" i="11" s="1"/>
  <c r="AG51" i="11"/>
  <c r="AH51" i="11" s="1"/>
  <c r="AL51" i="11" s="1"/>
  <c r="AQ34" i="11" s="1"/>
  <c r="AD51" i="11"/>
  <c r="AH24" i="11"/>
  <c r="AL24" i="11" s="1"/>
  <c r="AG46" i="11"/>
  <c r="AJ46" i="11" s="1"/>
  <c r="AN46" i="11" s="1"/>
  <c r="AD46" i="11"/>
  <c r="AG43" i="11"/>
  <c r="AJ43" i="11" s="1"/>
  <c r="AN43" i="11" s="1"/>
  <c r="AQ45" i="11" s="1"/>
  <c r="AD43" i="11"/>
  <c r="AG33" i="11"/>
  <c r="AK33" i="11" s="1"/>
  <c r="AO33" i="11" s="1"/>
  <c r="AR50" i="11" s="1"/>
  <c r="AD33" i="11"/>
  <c r="AH38" i="11"/>
  <c r="AL38" i="11" s="1"/>
  <c r="AJ38" i="11"/>
  <c r="AN38" i="11" s="1"/>
  <c r="AJ48" i="11"/>
  <c r="AN48" i="11" s="1"/>
  <c r="AG29" i="11"/>
  <c r="AK29" i="11" s="1"/>
  <c r="AO29" i="11" s="1"/>
  <c r="AR52" i="11" s="1"/>
  <c r="AD29" i="11"/>
  <c r="AD40" i="11"/>
  <c r="AG40" i="11"/>
  <c r="AH40" i="11" s="1"/>
  <c r="AL40" i="11" s="1"/>
  <c r="AG26" i="11"/>
  <c r="B12" i="11"/>
  <c r="F11" i="11"/>
  <c r="L10" i="11"/>
  <c r="F10" i="11"/>
  <c r="J9" i="11"/>
  <c r="F9" i="11"/>
  <c r="J8" i="11"/>
  <c r="F8" i="11"/>
  <c r="X7" i="11"/>
  <c r="X6" i="11"/>
  <c r="X5" i="11"/>
  <c r="X4" i="11"/>
  <c r="X3" i="11"/>
  <c r="X2" i="11"/>
  <c r="X1" i="11"/>
  <c r="G1" i="11" s="1"/>
  <c r="J65" i="11" s="1"/>
  <c r="AI41" i="11" l="1"/>
  <c r="AM41" i="11" s="1"/>
  <c r="AR29" i="11" s="1"/>
  <c r="AK40" i="11"/>
  <c r="AO40" i="11" s="1"/>
  <c r="AJ57" i="11"/>
  <c r="AN57" i="11" s="1"/>
  <c r="AQ38" i="11" s="1"/>
  <c r="AH57" i="11"/>
  <c r="AL57" i="11" s="1"/>
  <c r="AQ37" i="11" s="1"/>
  <c r="AH36" i="11"/>
  <c r="AL36" i="11" s="1"/>
  <c r="AJ41" i="11"/>
  <c r="AN41" i="11" s="1"/>
  <c r="AQ46" i="11" s="1"/>
  <c r="AH48" i="11"/>
  <c r="AL48" i="11" s="1"/>
  <c r="AI29" i="11"/>
  <c r="AM29" i="11" s="1"/>
  <c r="AR23" i="11" s="1"/>
  <c r="AH23" i="11"/>
  <c r="AL23" i="11" s="1"/>
  <c r="AQ20" i="11" s="1"/>
  <c r="AJ36" i="11"/>
  <c r="AN36" i="11" s="1"/>
  <c r="AH46" i="11"/>
  <c r="AL46" i="11" s="1"/>
  <c r="AJ51" i="11"/>
  <c r="AN51" i="11" s="1"/>
  <c r="AQ41" i="11" s="1"/>
  <c r="AH42" i="11"/>
  <c r="AL42" i="11" s="1"/>
  <c r="AJ56" i="11"/>
  <c r="AN56" i="11" s="1"/>
  <c r="AK43" i="11"/>
  <c r="AO43" i="11" s="1"/>
  <c r="AR45" i="11" s="1"/>
  <c r="AJ52" i="11"/>
  <c r="AN52" i="11" s="1"/>
  <c r="AI33" i="11"/>
  <c r="AM33" i="11" s="1"/>
  <c r="AR25" i="11" s="1"/>
  <c r="AH34" i="11"/>
  <c r="AL34" i="11" s="1"/>
  <c r="AI23" i="11"/>
  <c r="AM23" i="11" s="1"/>
  <c r="AR20" i="11" s="1"/>
  <c r="AJ34" i="11"/>
  <c r="AN34" i="11" s="1"/>
  <c r="AH35" i="11"/>
  <c r="AL35" i="11" s="1"/>
  <c r="AQ26" i="11" s="1"/>
  <c r="AK36" i="11"/>
  <c r="AO36" i="11" s="1"/>
  <c r="AI40" i="11"/>
  <c r="AM40" i="11" s="1"/>
  <c r="AJ35" i="11"/>
  <c r="AN35" i="11" s="1"/>
  <c r="AQ49" i="11" s="1"/>
  <c r="AH52" i="11"/>
  <c r="AL52" i="11" s="1"/>
  <c r="AI27" i="11"/>
  <c r="AM27" i="11" s="1"/>
  <c r="AR22" i="11" s="1"/>
  <c r="AI46" i="11"/>
  <c r="AM46" i="11" s="1"/>
  <c r="AK46" i="11"/>
  <c r="AO46" i="11" s="1"/>
  <c r="AJ53" i="11"/>
  <c r="AN53" i="11" s="1"/>
  <c r="AQ40" i="11" s="1"/>
  <c r="AI42" i="11"/>
  <c r="AM42" i="11" s="1"/>
  <c r="AH53" i="11"/>
  <c r="AL53" i="11" s="1"/>
  <c r="AQ35" i="11" s="1"/>
  <c r="AK47" i="11"/>
  <c r="AO47" i="11" s="1"/>
  <c r="AR43" i="11" s="1"/>
  <c r="AK35" i="11"/>
  <c r="AO35" i="11" s="1"/>
  <c r="AR49" i="11" s="1"/>
  <c r="AI53" i="11"/>
  <c r="AM53" i="11" s="1"/>
  <c r="AR35" i="11" s="1"/>
  <c r="AK32" i="11"/>
  <c r="AO32" i="11" s="1"/>
  <c r="AH22" i="11"/>
  <c r="AL22" i="11" s="1"/>
  <c r="AK52" i="11"/>
  <c r="AO52" i="11" s="1"/>
  <c r="AK44" i="11"/>
  <c r="AO44" i="11" s="1"/>
  <c r="AI24" i="11"/>
  <c r="AM24" i="11" s="1"/>
  <c r="AI25" i="11"/>
  <c r="AM25" i="11" s="1"/>
  <c r="AR21" i="11" s="1"/>
  <c r="AI31" i="11"/>
  <c r="AM31" i="11" s="1"/>
  <c r="AR24" i="11" s="1"/>
  <c r="AH31" i="11"/>
  <c r="AL31" i="11" s="1"/>
  <c r="AQ24" i="11" s="1"/>
  <c r="AK31" i="11"/>
  <c r="AO31" i="11" s="1"/>
  <c r="AR51" i="11" s="1"/>
  <c r="AJ31" i="11"/>
  <c r="AN31" i="11" s="1"/>
  <c r="AQ51" i="11" s="1"/>
  <c r="AJ28" i="11"/>
  <c r="AN28" i="11" s="1"/>
  <c r="AH30" i="11"/>
  <c r="AL30" i="11" s="1"/>
  <c r="AJ20" i="11"/>
  <c r="AN20" i="11" s="1"/>
  <c r="AH20" i="11"/>
  <c r="AL20" i="11" s="1"/>
  <c r="AI50" i="11"/>
  <c r="AM50" i="11" s="1"/>
  <c r="AJ18" i="11"/>
  <c r="AN18" i="11" s="1"/>
  <c r="AI18" i="11"/>
  <c r="AM18" i="11" s="1"/>
  <c r="AK18" i="11"/>
  <c r="AO18" i="11" s="1"/>
  <c r="AH18" i="11"/>
  <c r="AL18" i="11" s="1"/>
  <c r="AH54" i="11"/>
  <c r="AL54" i="11" s="1"/>
  <c r="AH43" i="11"/>
  <c r="AL43" i="11" s="1"/>
  <c r="AQ30" i="11" s="1"/>
  <c r="AI43" i="11"/>
  <c r="AM43" i="11" s="1"/>
  <c r="AR30" i="11" s="1"/>
  <c r="AK51" i="11"/>
  <c r="AO51" i="11" s="1"/>
  <c r="AR41" i="11" s="1"/>
  <c r="AK25" i="11"/>
  <c r="AO25" i="11" s="1"/>
  <c r="AR54" i="11" s="1"/>
  <c r="AI57" i="11"/>
  <c r="AM57" i="11" s="1"/>
  <c r="AR37" i="11" s="1"/>
  <c r="AH19" i="11"/>
  <c r="AL19" i="11" s="1"/>
  <c r="AQ18" i="11" s="1"/>
  <c r="AJ19" i="11"/>
  <c r="AN19" i="11" s="1"/>
  <c r="AQ57" i="11" s="1"/>
  <c r="AI49" i="11"/>
  <c r="AM49" i="11" s="1"/>
  <c r="AR33" i="11" s="1"/>
  <c r="AK30" i="11"/>
  <c r="AO30" i="11" s="1"/>
  <c r="AI34" i="11"/>
  <c r="AM34" i="11" s="1"/>
  <c r="AJ29" i="11"/>
  <c r="AN29" i="11" s="1"/>
  <c r="AQ52" i="11" s="1"/>
  <c r="AH29" i="11"/>
  <c r="AL29" i="11" s="1"/>
  <c r="AQ23" i="11" s="1"/>
  <c r="AJ30" i="11"/>
  <c r="AN30" i="11" s="1"/>
  <c r="AI19" i="11"/>
  <c r="AM19" i="11" s="1"/>
  <c r="AR18" i="11" s="1"/>
  <c r="AI21" i="11"/>
  <c r="AM21" i="11" s="1"/>
  <c r="AR19" i="11" s="1"/>
  <c r="AH21" i="11"/>
  <c r="AL21" i="11" s="1"/>
  <c r="AQ19" i="11" s="1"/>
  <c r="AK21" i="11"/>
  <c r="AO21" i="11" s="1"/>
  <c r="AR56" i="11" s="1"/>
  <c r="AJ21" i="11"/>
  <c r="AN21" i="11" s="1"/>
  <c r="AQ56" i="11" s="1"/>
  <c r="AH25" i="11"/>
  <c r="AL25" i="11" s="1"/>
  <c r="AQ21" i="11" s="1"/>
  <c r="AK22" i="11"/>
  <c r="AO22" i="11" s="1"/>
  <c r="AH45" i="11"/>
  <c r="AL45" i="11" s="1"/>
  <c r="AQ31" i="11" s="1"/>
  <c r="AI54" i="11"/>
  <c r="AM54" i="11" s="1"/>
  <c r="AK45" i="11"/>
  <c r="AO45" i="11" s="1"/>
  <c r="AR44" i="11" s="1"/>
  <c r="AI20" i="11"/>
  <c r="AM20" i="11" s="1"/>
  <c r="AI37" i="11"/>
  <c r="AM37" i="11" s="1"/>
  <c r="AR27" i="11" s="1"/>
  <c r="AI22" i="11"/>
  <c r="AM22" i="11" s="1"/>
  <c r="AI26" i="11"/>
  <c r="AM26" i="11" s="1"/>
  <c r="AJ26" i="11"/>
  <c r="AN26" i="11" s="1"/>
  <c r="AH26" i="11"/>
  <c r="AL26" i="11" s="1"/>
  <c r="AK26" i="11"/>
  <c r="AO26" i="11" s="1"/>
  <c r="AH56" i="11"/>
  <c r="AL56" i="11" s="1"/>
  <c r="AJ40" i="11"/>
  <c r="AN40" i="11" s="1"/>
  <c r="AI51" i="11"/>
  <c r="AM51" i="11" s="1"/>
  <c r="AR34" i="11" s="1"/>
  <c r="AJ45" i="11"/>
  <c r="AN45" i="11" s="1"/>
  <c r="AQ44" i="11" s="1"/>
  <c r="AJ37" i="11"/>
  <c r="AN37" i="11" s="1"/>
  <c r="AQ48" i="11" s="1"/>
  <c r="AI56" i="11"/>
  <c r="AM56" i="11" s="1"/>
  <c r="AI48" i="11"/>
  <c r="AM48" i="11" s="1"/>
  <c r="AH41" i="11"/>
  <c r="AL41" i="11" s="1"/>
  <c r="AQ29" i="11" s="1"/>
  <c r="AI39" i="11"/>
  <c r="AM39" i="11" s="1"/>
  <c r="AR28" i="11" s="1"/>
  <c r="AK54" i="11"/>
  <c r="AO54" i="11" s="1"/>
  <c r="AI55" i="11"/>
  <c r="AM55" i="11" s="1"/>
  <c r="AR36" i="11" s="1"/>
  <c r="AK37" i="11"/>
  <c r="AO37" i="11" s="1"/>
  <c r="AR48" i="11" s="1"/>
  <c r="AH33" i="11"/>
  <c r="AL33" i="11" s="1"/>
  <c r="AQ25" i="11" s="1"/>
  <c r="AJ33" i="11"/>
  <c r="AN33" i="11" s="1"/>
  <c r="AQ50" i="11" s="1"/>
  <c r="AH39" i="11"/>
  <c r="AL39" i="11" s="1"/>
  <c r="AQ28" i="11" s="1"/>
  <c r="AH27" i="11"/>
  <c r="AL27" i="11" s="1"/>
  <c r="AQ22" i="11" s="1"/>
  <c r="AJ27" i="11"/>
  <c r="AN27" i="11" s="1"/>
  <c r="AQ53" i="11" s="1"/>
  <c r="AK23" i="11"/>
  <c r="AO23" i="11" s="1"/>
  <c r="AR55" i="11" s="1"/>
  <c r="J10" i="1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<sst xmlns="http://schemas.openxmlformats.org/spreadsheetml/2006/main" count="130" uniqueCount="89">
  <si>
    <t>Revision:</t>
  </si>
  <si>
    <t>Date:</t>
  </si>
  <si>
    <t>R. Abbott</t>
  </si>
  <si>
    <t>Author:</t>
  </si>
  <si>
    <t>Check:</t>
  </si>
  <si>
    <t xml:space="preserve"> </t>
  </si>
  <si>
    <t>Report:</t>
  </si>
  <si>
    <t>Section:</t>
  </si>
  <si>
    <t>Document Number:</t>
  </si>
  <si>
    <t>Revision Level :</t>
  </si>
  <si>
    <t>Page:</t>
  </si>
  <si>
    <t>AAAAAH98rX4=</t>
  </si>
  <si>
    <t>AAAAAH98rX8=</t>
  </si>
  <si>
    <t xml:space="preserve">Page </t>
  </si>
  <si>
    <t>Title</t>
  </si>
  <si>
    <t>Sub</t>
  </si>
  <si>
    <t>Fig</t>
  </si>
  <si>
    <t>Table</t>
  </si>
  <si>
    <t>No</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</si>
  <si>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</si>
  <si>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</si>
  <si>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</si>
  <si>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</si>
  <si>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</si>
  <si>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</si>
  <si>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</si>
  <si>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</si>
  <si>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</si>
  <si>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</si>
  <si>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</si>
  <si>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</si>
  <si>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</si>
  <si>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</si>
  <si>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</si>
  <si>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</si>
  <si>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</si>
  <si>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</si>
  <si>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</si>
  <si>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A</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</si>
  <si>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</si>
  <si>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</si>
  <si>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</si>
  <si>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</si>
  <si>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</si>
  <si>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</si>
  <si>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</si>
  <si>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</si>
  <si>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</si>
  <si>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</si>
  <si>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www.abbottaerospace.com/services/</t>
  </si>
  <si>
    <t>library.abbottaerospace.com/subscribe</t>
  </si>
  <si>
    <t>library.abbottaerospace.com/xl-viking</t>
  </si>
  <si>
    <t>library.abbottaerospace.com/donate</t>
  </si>
  <si>
    <t>To display formula values or variables using the xln &amp; xlv functions, you need the XL-Viking add-in.</t>
  </si>
  <si>
    <t>The free version is available here:</t>
  </si>
  <si>
    <t>www.XL-Viking.com</t>
  </si>
  <si>
    <t>(NACA-REPORT-460, 1933)</t>
  </si>
  <si>
    <t>Chord Length, c =</t>
  </si>
  <si>
    <t>ft</t>
  </si>
  <si>
    <t>% Chord</t>
  </si>
  <si>
    <t>x</t>
  </si>
  <si>
    <t>y</t>
  </si>
  <si>
    <t>camber 1</t>
  </si>
  <si>
    <t>camber 2</t>
  </si>
  <si>
    <t>camber</t>
  </si>
  <si>
    <t>dyc/dx</t>
  </si>
  <si>
    <t>xu</t>
  </si>
  <si>
    <t>yu</t>
  </si>
  <si>
    <t>xl</t>
  </si>
  <si>
    <t>yl</t>
  </si>
  <si>
    <t>Airfoil Number:</t>
  </si>
  <si>
    <t>2412</t>
  </si>
  <si>
    <t>t =</t>
  </si>
  <si>
    <t>Maximum thickness as a percentage of chord</t>
  </si>
  <si>
    <t>m =</t>
  </si>
  <si>
    <t>Maximum camber</t>
  </si>
  <si>
    <t>p =</t>
  </si>
  <si>
    <t>Position of max camber</t>
  </si>
  <si>
    <t>Zero Lift Angle:</t>
  </si>
  <si>
    <t>=</t>
  </si>
  <si>
    <t>deg</t>
  </si>
  <si>
    <t>NACA 4 DIGIT AIRFOIL GENERATOR</t>
  </si>
  <si>
    <t>half thickness of the airfoil:</t>
  </si>
  <si>
    <t>Position of the mid thickness line:</t>
  </si>
  <si>
    <t>Airfoil Coordinates</t>
  </si>
  <si>
    <t>Upper Surface</t>
  </si>
  <si>
    <t>Lower Surface</t>
  </si>
  <si>
    <t>Mid Thickness</t>
  </si>
  <si>
    <t>AA-SM-270-001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</si>
</sst>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9"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rgb="FF0000CC"/>
      <name val="Calibri"/>
      <family val="2"/>
      <scheme val="minor"/>
    </font>
    <font>
      <sz val="10"/>
      <color theme="1"/>
      <name val="Calibri"/>
      <family val="2"/>
      <scheme val="minor"/>
    </font>
    <font>
      <u/>
      <sz val="10"/>
      <color theme="10"/>
      <name val="Calibri"/>
      <family val="2"/>
      <scheme val="minor"/>
    </font>
    <font>
      <b/>
      <i/>
      <u/>
      <sz val="10"/>
      <color rgb="FF3333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1" fillId="0" borderId="0"/>
    <xf numFmtId="0" fontId="1" fillId="0" borderId="0"/>
    <xf numFmtId="0" fontId="1" fillId="0" borderId="0"/>
    <xf numFmtId="0" fontId="10" fillId="0" borderId="0" applyNumberFormat="0" applyFill="0" applyBorder="0" applyAlignment="0" applyProtection="0">
      <alignment vertical="top"/>
      <protection locked="0"/>
    </xf>
    <xf numFmtId="0" fontId="5" fillId="0" borderId="0" applyProtection="0"/>
    <xf numFmtId="0" fontId="5" fillId="0" borderId="0"/>
    <xf numFmtId="0" fontId="10" fillId="0" borderId="0" applyNumberFormat="0" applyFill="0" applyBorder="0" applyAlignment="0" applyProtection="0">
      <alignment vertical="top"/>
      <protection locked="0"/>
    </xf>
  </cellStyleXfs>
  <cellXfs count="99">
    <xf numFmtId="0" fontId="0" fillId="0" borderId="0" xfId="0"/>
    <xf numFmtId="0" fontId="2" fillId="0" borderId="0" xfId="1"/>
    <xf numFmtId="0" fontId="5" fillId="0" borderId="0" xfId="1" applyFont="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protection locked="0"/>
    </xf>
    <xf numFmtId="164" fontId="5" fillId="0" borderId="0" xfId="0" applyNumberFormat="1" applyFont="1"/>
    <xf numFmtId="165" fontId="5" fillId="0" borderId="0" xfId="0" applyNumberFormat="1" applyFont="1" applyAlignment="1" applyProtection="1">
      <alignment horizontal="center" vertical="center"/>
      <protection locked="0"/>
    </xf>
    <xf numFmtId="0" fontId="5" fillId="0" borderId="0" xfId="3" applyFont="1" applyProtection="1">
      <protection locked="0"/>
    </xf>
    <xf numFmtId="0" fontId="5" fillId="0" borderId="0" xfId="3" applyFont="1" applyAlignment="1" applyProtection="1">
      <alignment horizontal="right"/>
      <protection locked="0"/>
    </xf>
    <xf numFmtId="0" fontId="7" fillId="0" borderId="0" xfId="3" applyFont="1" applyProtection="1">
      <protection locked="0"/>
    </xf>
    <xf numFmtId="0" fontId="7"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7"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8"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9" fillId="0" borderId="0" xfId="3" applyFont="1"/>
    <xf numFmtId="0" fontId="5" fillId="0" borderId="0" xfId="3" applyFont="1" applyBorder="1" applyAlignment="1"/>
    <xf numFmtId="0" fontId="9"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10" fillId="0" borderId="0" xfId="5" applyFont="1" applyBorder="1" applyAlignment="1" applyProtection="1">
      <alignment horizontal="center"/>
    </xf>
    <xf numFmtId="1" fontId="6" fillId="0" borderId="0" xfId="0" applyNumberFormat="1" applyFont="1" applyBorder="1" applyAlignment="1" applyProtection="1">
      <alignment horizontal="right"/>
      <protection locked="0"/>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5" fillId="0" borderId="0" xfId="3" applyFont="1" applyBorder="1" applyAlignment="1">
      <alignment horizontal="left" vertical="top" wrapText="1"/>
    </xf>
    <xf numFmtId="0" fontId="10" fillId="0" borderId="0" xfId="5" applyBorder="1" applyAlignment="1" applyProtection="1">
      <alignment horizontal="center"/>
    </xf>
    <xf numFmtId="0" fontId="11" fillId="0" borderId="0" xfId="1" applyFont="1"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xf>
    <xf numFmtId="0" fontId="13" fillId="0" borderId="0" xfId="0" applyFont="1" applyBorder="1" applyAlignment="1" applyProtection="1">
      <alignment horizontal="centerContinuous"/>
      <protection locked="0"/>
    </xf>
    <xf numFmtId="0" fontId="11" fillId="0" borderId="0" xfId="0" applyFont="1"/>
    <xf numFmtId="0" fontId="11" fillId="0" borderId="0" xfId="0" applyFont="1" applyBorder="1" applyProtection="1">
      <protection locked="0"/>
    </xf>
    <xf numFmtId="0" fontId="14" fillId="0" borderId="0" xfId="0" applyFont="1" applyBorder="1" applyAlignment="1" applyProtection="1">
      <alignment horizontal="right"/>
      <protection locked="0"/>
    </xf>
    <xf numFmtId="0" fontId="12" fillId="0" borderId="0" xfId="0" applyFont="1"/>
    <xf numFmtId="0" fontId="12" fillId="0" borderId="0" xfId="0" applyFont="1" applyBorder="1" applyProtection="1">
      <protection locked="0"/>
    </xf>
    <xf numFmtId="0" fontId="13" fillId="0" borderId="0" xfId="0" applyFont="1" applyBorder="1" applyProtection="1">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0" fillId="0" borderId="0" xfId="5" applyBorder="1" applyAlignment="1" applyProtection="1">
      <alignment horizontal="center"/>
    </xf>
    <xf numFmtId="0" fontId="5" fillId="0" borderId="0" xfId="3" applyFont="1" applyFill="1"/>
    <xf numFmtId="165" fontId="5" fillId="0" borderId="0" xfId="3" applyNumberFormat="1" applyFont="1" applyAlignment="1">
      <alignment horizontal="center"/>
    </xf>
    <xf numFmtId="165" fontId="5" fillId="0" borderId="0" xfId="3" applyNumberFormat="1" applyFont="1"/>
    <xf numFmtId="49" fontId="15" fillId="0" borderId="0" xfId="3" quotePrefix="1" applyNumberFormat="1" applyFont="1"/>
    <xf numFmtId="0" fontId="15" fillId="0" borderId="0" xfId="3" applyFont="1"/>
    <xf numFmtId="0" fontId="5" fillId="0" borderId="0" xfId="3" applyFont="1" applyAlignment="1"/>
    <xf numFmtId="164" fontId="5" fillId="0" borderId="1" xfId="4" applyNumberFormat="1" applyFont="1" applyBorder="1" applyAlignment="1">
      <alignment horizontal="center"/>
    </xf>
    <xf numFmtId="166" fontId="16" fillId="0" borderId="0" xfId="3" applyNumberFormat="1" applyFont="1"/>
    <xf numFmtId="0" fontId="17" fillId="0" borderId="0" xfId="5" applyFont="1" applyAlignment="1" applyProtection="1">
      <alignment horizontal="left"/>
    </xf>
    <xf numFmtId="0" fontId="5" fillId="0" borderId="0" xfId="0" applyFont="1" applyAlignment="1">
      <alignment horizontal="right"/>
    </xf>
    <xf numFmtId="0" fontId="15" fillId="0" borderId="0" xfId="0" applyFont="1" applyAlignment="1"/>
    <xf numFmtId="165" fontId="5" fillId="0" borderId="0" xfId="0" applyNumberFormat="1" applyFont="1" applyAlignment="1">
      <alignment horizontal="center"/>
    </xf>
    <xf numFmtId="165" fontId="5" fillId="0" borderId="0" xfId="0" applyNumberFormat="1" applyFont="1" applyAlignment="1"/>
    <xf numFmtId="0" fontId="6" fillId="0" borderId="0" xfId="0" applyFont="1" applyAlignment="1"/>
    <xf numFmtId="0" fontId="18" fillId="0" borderId="0" xfId="8" applyFont="1" applyBorder="1" applyAlignment="1" applyProtection="1">
      <alignment horizontal="left"/>
      <protection locked="0"/>
    </xf>
    <xf numFmtId="0" fontId="5" fillId="0" borderId="0" xfId="0" applyFont="1" applyAlignment="1" applyProtection="1">
      <alignment horizontal="center" vertical="center"/>
      <protection locked="0"/>
    </xf>
    <xf numFmtId="166" fontId="5" fillId="0" borderId="0" xfId="0" applyNumberFormat="1" applyFont="1" applyAlignment="1" applyProtection="1">
      <alignment horizontal="center" vertical="center"/>
      <protection locked="0"/>
    </xf>
    <xf numFmtId="0" fontId="6" fillId="0" borderId="0" xfId="0" applyFont="1"/>
    <xf numFmtId="0" fontId="6" fillId="0" borderId="0" xfId="0" applyFont="1" applyAlignment="1">
      <alignment horizontal="center"/>
    </xf>
  </cellXfs>
  <cellStyles count="9">
    <cellStyle name="BODY TEXT" xfId="6"/>
    <cellStyle name="Hyperlink" xfId="5" builtinId="8"/>
    <cellStyle name="Hyperlink 2" xfId="8"/>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972010218765"/>
          <c:y val="2.4303868919289772E-2"/>
          <c:w val="0.83828820069705468"/>
          <c:h val="0.9513922621614207"/>
        </c:manualLayout>
      </c:layout>
      <c:scatterChart>
        <c:scatterStyle val="lineMarker"/>
        <c:varyColors val="0"/>
        <c:ser>
          <c:idx val="0"/>
          <c:order val="0"/>
          <c:spPr>
            <a:ln w="9525">
              <a:solidFill>
                <a:schemeClr val="tx1"/>
              </a:solidFill>
              <a:prstDash val="lgDash"/>
            </a:ln>
          </c:spPr>
          <c:marker>
            <c:symbol val="none"/>
          </c:marker>
          <c:xVal>
            <c:numRef>
              <c:f>'Main - US'!$V$17:$V$57</c:f>
              <c:numCache>
                <c:formatCode>General</c:formatCode>
                <c:ptCount val="4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0.06</c:v>
                </c:pt>
                <c:pt idx="11">
                  <c:v>7.4999999999999997E-2</c:v>
                </c:pt>
                <c:pt idx="12">
                  <c:v>0.09</c:v>
                </c:pt>
                <c:pt idx="13">
                  <c:v>0.105</c:v>
                </c:pt>
                <c:pt idx="14">
                  <c:v>0.12</c:v>
                </c:pt>
                <c:pt idx="15">
                  <c:v>0.13500000000000001</c:v>
                </c:pt>
                <c:pt idx="16">
                  <c:v>0.15</c:v>
                </c:pt>
                <c:pt idx="17">
                  <c:v>0.16500000000000001</c:v>
                </c:pt>
                <c:pt idx="18">
                  <c:v>0.18</c:v>
                </c:pt>
                <c:pt idx="19">
                  <c:v>0.2</c:v>
                </c:pt>
                <c:pt idx="20">
                  <c:v>0.22</c:v>
                </c:pt>
                <c:pt idx="21">
                  <c:v>0.24</c:v>
                </c:pt>
                <c:pt idx="22">
                  <c:v>0.26</c:v>
                </c:pt>
                <c:pt idx="23">
                  <c:v>0.28000000000000003</c:v>
                </c:pt>
                <c:pt idx="24">
                  <c:v>0.3</c:v>
                </c:pt>
                <c:pt idx="25">
                  <c:v>0.32</c:v>
                </c:pt>
                <c:pt idx="26">
                  <c:v>0.34</c:v>
                </c:pt>
                <c:pt idx="27">
                  <c:v>0.36</c:v>
                </c:pt>
                <c:pt idx="28">
                  <c:v>0.38</c:v>
                </c:pt>
                <c:pt idx="29">
                  <c:v>0.43</c:v>
                </c:pt>
                <c:pt idx="30">
                  <c:v>0.48</c:v>
                </c:pt>
                <c:pt idx="31">
                  <c:v>0.53</c:v>
                </c:pt>
                <c:pt idx="32">
                  <c:v>0.57999999999999996</c:v>
                </c:pt>
                <c:pt idx="33">
                  <c:v>0.63</c:v>
                </c:pt>
                <c:pt idx="34">
                  <c:v>0.68</c:v>
                </c:pt>
                <c:pt idx="35">
                  <c:v>0.73</c:v>
                </c:pt>
                <c:pt idx="36">
                  <c:v>0.78</c:v>
                </c:pt>
                <c:pt idx="37">
                  <c:v>0.83</c:v>
                </c:pt>
                <c:pt idx="38">
                  <c:v>0.88</c:v>
                </c:pt>
                <c:pt idx="39">
                  <c:v>0.93</c:v>
                </c:pt>
                <c:pt idx="40">
                  <c:v>1</c:v>
                </c:pt>
              </c:numCache>
            </c:numRef>
          </c:xVal>
          <c:yVal>
            <c:numRef>
              <c:f>'Main - US'!$AD$17:$AD$57</c:f>
              <c:numCache>
                <c:formatCode>0.0000</c:formatCode>
                <c:ptCount val="41"/>
                <c:pt idx="0">
                  <c:v>0</c:v>
                </c:pt>
                <c:pt idx="1">
                  <c:v>4.9687499999999992E-4</c:v>
                </c:pt>
                <c:pt idx="2">
                  <c:v>9.8749999999999988E-4</c:v>
                </c:pt>
                <c:pt idx="3">
                  <c:v>1.4718750000000001E-3</c:v>
                </c:pt>
                <c:pt idx="4">
                  <c:v>1.9499999999999999E-3</c:v>
                </c:pt>
                <c:pt idx="5">
                  <c:v>2.421875E-3</c:v>
                </c:pt>
                <c:pt idx="6">
                  <c:v>2.8875000000000003E-3</c:v>
                </c:pt>
                <c:pt idx="7">
                  <c:v>3.3468750000000005E-3</c:v>
                </c:pt>
                <c:pt idx="8">
                  <c:v>3.7999999999999996E-3</c:v>
                </c:pt>
                <c:pt idx="9">
                  <c:v>4.2468749999999998E-3</c:v>
                </c:pt>
                <c:pt idx="10">
                  <c:v>5.5499999999999994E-3</c:v>
                </c:pt>
                <c:pt idx="11">
                  <c:v>6.7968749999999991E-3</c:v>
                </c:pt>
                <c:pt idx="12">
                  <c:v>7.9874999999999998E-3</c:v>
                </c:pt>
                <c:pt idx="13">
                  <c:v>9.1218749999999998E-3</c:v>
                </c:pt>
                <c:pt idx="14">
                  <c:v>1.0200000000000001E-2</c:v>
                </c:pt>
                <c:pt idx="15">
                  <c:v>1.1221875000000001E-2</c:v>
                </c:pt>
                <c:pt idx="16">
                  <c:v>1.21875E-2</c:v>
                </c:pt>
                <c:pt idx="17">
                  <c:v>1.3096874999999999E-2</c:v>
                </c:pt>
                <c:pt idx="18">
                  <c:v>1.3950000000000001E-2</c:v>
                </c:pt>
                <c:pt idx="19">
                  <c:v>1.4999999999999999E-2</c:v>
                </c:pt>
                <c:pt idx="20">
                  <c:v>1.5949999999999999E-2</c:v>
                </c:pt>
                <c:pt idx="21">
                  <c:v>1.6799999999999999E-2</c:v>
                </c:pt>
                <c:pt idx="22">
                  <c:v>1.755E-2</c:v>
                </c:pt>
                <c:pt idx="23">
                  <c:v>1.8200000000000001E-2</c:v>
                </c:pt>
                <c:pt idx="24">
                  <c:v>1.8749999999999999E-2</c:v>
                </c:pt>
                <c:pt idx="25">
                  <c:v>1.9199999999999998E-2</c:v>
                </c:pt>
                <c:pt idx="26">
                  <c:v>1.9550000000000001E-2</c:v>
                </c:pt>
                <c:pt idx="27">
                  <c:v>1.9800000000000002E-2</c:v>
                </c:pt>
                <c:pt idx="28">
                  <c:v>1.9949999999999999E-2</c:v>
                </c:pt>
                <c:pt idx="29">
                  <c:v>1.9950000000000006E-2</c:v>
                </c:pt>
                <c:pt idx="30">
                  <c:v>1.9644444444444444E-2</c:v>
                </c:pt>
                <c:pt idx="31">
                  <c:v>1.9061111111111109E-2</c:v>
                </c:pt>
                <c:pt idx="32">
                  <c:v>1.8199999999999997E-2</c:v>
                </c:pt>
                <c:pt idx="33">
                  <c:v>1.7061111111111107E-2</c:v>
                </c:pt>
                <c:pt idx="34">
                  <c:v>1.564444444444444E-2</c:v>
                </c:pt>
                <c:pt idx="35">
                  <c:v>1.3950000000000001E-2</c:v>
                </c:pt>
                <c:pt idx="36">
                  <c:v>1.1977777777777778E-2</c:v>
                </c:pt>
                <c:pt idx="37">
                  <c:v>9.7277777777777796E-3</c:v>
                </c:pt>
                <c:pt idx="38">
                  <c:v>7.2000000000000033E-3</c:v>
                </c:pt>
                <c:pt idx="39">
                  <c:v>4.3944444444444421E-3</c:v>
                </c:pt>
                <c:pt idx="40">
                  <c:v>0</c:v>
                </c:pt>
              </c:numCache>
            </c:numRef>
          </c:yVal>
          <c:smooth val="0"/>
          <c:extLst>
            <c:ext xmlns:c16="http://schemas.microsoft.com/office/drawing/2014/chart" uri="{C3380CC4-5D6E-409C-BE32-E72D297353CC}">
              <c16:uniqueId val="{00000000-DC25-4C68-9C55-571D14EF038C}"/>
            </c:ext>
          </c:extLst>
        </c:ser>
        <c:ser>
          <c:idx val="1"/>
          <c:order val="1"/>
          <c:spPr>
            <a:ln w="9525">
              <a:solidFill>
                <a:prstClr val="black"/>
              </a:solidFill>
            </a:ln>
          </c:spPr>
          <c:marker>
            <c:symbol val="none"/>
          </c:marker>
          <c:xVal>
            <c:numRef>
              <c:f>'Main - US'!$AL$17:$AL$57</c:f>
              <c:numCache>
                <c:formatCode>General</c:formatCode>
                <c:ptCount val="41"/>
                <c:pt idx="0">
                  <c:v>0</c:v>
                </c:pt>
                <c:pt idx="1">
                  <c:v>3.7922672346269639E-3</c:v>
                </c:pt>
                <c:pt idx="2">
                  <c:v>9.250031608406489E-3</c:v>
                </c:pt>
                <c:pt idx="3">
                  <c:v>1.4540087555560573E-2</c:v>
                </c:pt>
                <c:pt idx="4">
                  <c:v>1.9789840684282616E-2</c:v>
                </c:pt>
                <c:pt idx="5">
                  <c:v>2.5029415579858338E-2</c:v>
                </c:pt>
                <c:pt idx="6">
                  <c:v>3.0269209940078128E-2</c:v>
                </c:pt>
                <c:pt idx="7">
                  <c:v>3.5513428740202233E-2</c:v>
                </c:pt>
                <c:pt idx="8">
                  <c:v>4.0763848456463594E-2</c:v>
                </c:pt>
                <c:pt idx="9">
                  <c:v>4.6021156878976947E-2</c:v>
                </c:pt>
                <c:pt idx="10">
                  <c:v>6.0893194802991636E-2</c:v>
                </c:pt>
                <c:pt idx="11">
                  <c:v>7.6819996872979135E-2</c:v>
                </c:pt>
                <c:pt idx="12">
                  <c:v>9.2777456334298514E-2</c:v>
                </c:pt>
                <c:pt idx="13">
                  <c:v>0.10876194560096826</c:v>
                </c:pt>
                <c:pt idx="14">
                  <c:v>0.12476750834380648</c:v>
                </c:pt>
                <c:pt idx="15">
                  <c:v>0.14078761039701346</c:v>
                </c:pt>
                <c:pt idx="16">
                  <c:v>0.1568157758012593</c:v>
                </c:pt>
                <c:pt idx="17">
                  <c:v>0.1728458287440422</c:v>
                </c:pt>
                <c:pt idx="18">
                  <c:v>0.18887198182625373</c:v>
                </c:pt>
                <c:pt idx="19">
                  <c:v>0.20987668547877777</c:v>
                </c:pt>
                <c:pt idx="20">
                  <c:v>0.23121247867328495</c:v>
                </c:pt>
                <c:pt idx="21">
                  <c:v>0.2525097228184589</c:v>
                </c:pt>
                <c:pt idx="22">
                  <c:v>0.27375930500772799</c:v>
                </c:pt>
                <c:pt idx="23">
                  <c:v>0.29495314375977688</c:v>
                </c:pt>
                <c:pt idx="24">
                  <c:v>0.31608412755634585</c:v>
                </c:pt>
                <c:pt idx="25">
                  <c:v>0.33714605218167282</c:v>
                </c:pt>
                <c:pt idx="26">
                  <c:v>0.35813355878290315</c:v>
                </c:pt>
                <c:pt idx="27">
                  <c:v>0.37904207326188782</c:v>
                </c:pt>
                <c:pt idx="28">
                  <c:v>0.39986774711660433</c:v>
                </c:pt>
                <c:pt idx="29">
                  <c:v>0.45016925028315791</c:v>
                </c:pt>
                <c:pt idx="30">
                  <c:v>0.50142054854592133</c:v>
                </c:pt>
                <c:pt idx="31">
                  <c:v>0.55208929445913624</c:v>
                </c:pt>
                <c:pt idx="32">
                  <c:v>0.60217188671248412</c:v>
                </c:pt>
                <c:pt idx="33">
                  <c:v>0.65167225148911889</c:v>
                </c:pt>
                <c:pt idx="34">
                  <c:v>0.70060073396782818</c:v>
                </c:pt>
                <c:pt idx="35">
                  <c:v>0.74897049929461867</c:v>
                </c:pt>
                <c:pt idx="36">
                  <c:v>0.79679445612751465</c:v>
                </c:pt>
                <c:pt idx="37">
                  <c:v>0.84408269189092711</c:v>
                </c:pt>
                <c:pt idx="38">
                  <c:v>0.89084038628956208</c:v>
                </c:pt>
                <c:pt idx="39">
                  <c:v>0.93706615455953157</c:v>
                </c:pt>
                <c:pt idx="40">
                  <c:v>1.0008602429555136</c:v>
                </c:pt>
              </c:numCache>
            </c:numRef>
          </c:xVal>
          <c:yVal>
            <c:numRef>
              <c:f>'Main - US'!$AM$17:$AM$57</c:f>
              <c:numCache>
                <c:formatCode>General</c:formatCode>
                <c:ptCount val="41"/>
                <c:pt idx="0">
                  <c:v>0</c:v>
                </c:pt>
                <c:pt idx="1">
                  <c:v>1.2650160689288415E-2</c:v>
                </c:pt>
                <c:pt idx="2">
                  <c:v>1.800805924183857E-2</c:v>
                </c:pt>
                <c:pt idx="3">
                  <c:v>2.2103461292609729E-2</c:v>
                </c:pt>
                <c:pt idx="4">
                  <c:v>2.5546835448969296E-2</c:v>
                </c:pt>
                <c:pt idx="5">
                  <c:v>2.8569057096298821E-2</c:v>
                </c:pt>
                <c:pt idx="6">
                  <c:v>3.1287669502747868E-2</c:v>
                </c:pt>
                <c:pt idx="7">
                  <c:v>3.3772281826798721E-2</c:v>
                </c:pt>
                <c:pt idx="8">
                  <c:v>3.6068185619584262E-2</c:v>
                </c:pt>
                <c:pt idx="9">
                  <c:v>3.8206826633413481E-2</c:v>
                </c:pt>
                <c:pt idx="10">
                  <c:v>4.3915414356687762E-2</c:v>
                </c:pt>
                <c:pt idx="11">
                  <c:v>4.8756457085974265E-2</c:v>
                </c:pt>
                <c:pt idx="12">
                  <c:v>5.2951379948171548E-2</c:v>
                </c:pt>
                <c:pt idx="13">
                  <c:v>5.662333016442455E-2</c:v>
                </c:pt>
                <c:pt idx="14">
                  <c:v>5.9853463629554939E-2</c:v>
                </c:pt>
                <c:pt idx="15">
                  <c:v>6.2699076801725609E-2</c:v>
                </c:pt>
                <c:pt idx="16">
                  <c:v>6.5202771181404481E-2</c:v>
                </c:pt>
                <c:pt idx="17">
                  <c:v>6.7397537955227058E-2</c:v>
                </c:pt>
                <c:pt idx="18">
                  <c:v>6.9309782601258224E-2</c:v>
                </c:pt>
                <c:pt idx="19">
                  <c:v>7.1518944084565245E-2</c:v>
                </c:pt>
                <c:pt idx="20">
                  <c:v>7.3249542581247079E-2</c:v>
                </c:pt>
                <c:pt idx="21">
                  <c:v>7.4592752193072917E-2</c:v>
                </c:pt>
                <c:pt idx="22">
                  <c:v>7.5577888110450506E-2</c:v>
                </c:pt>
                <c:pt idx="23">
                  <c:v>7.6230218333160321E-2</c:v>
                </c:pt>
                <c:pt idx="24">
                  <c:v>7.6571908530901928E-2</c:v>
                </c:pt>
                <c:pt idx="25">
                  <c:v>7.6622676066303561E-2</c:v>
                </c:pt>
                <c:pt idx="26">
                  <c:v>7.6400253445708305E-2</c:v>
                </c:pt>
                <c:pt idx="27">
                  <c:v>7.5920723489804581E-2</c:v>
                </c:pt>
                <c:pt idx="28">
                  <c:v>7.5198766222536739E-2</c:v>
                </c:pt>
                <c:pt idx="29">
                  <c:v>7.3026974429362929E-2</c:v>
                </c:pt>
                <c:pt idx="30">
                  <c:v>6.9386035929046963E-2</c:v>
                </c:pt>
                <c:pt idx="31">
                  <c:v>6.4975194632944738E-2</c:v>
                </c:pt>
                <c:pt idx="32">
                  <c:v>5.9916888150077327E-2</c:v>
                </c:pt>
                <c:pt idx="33">
                  <c:v>5.4310960586929621E-2</c:v>
                </c:pt>
                <c:pt idx="34">
                  <c:v>4.8236245052742086E-2</c:v>
                </c:pt>
                <c:pt idx="35">
                  <c:v>4.1752888868832362E-2</c:v>
                </c:pt>
                <c:pt idx="36">
                  <c:v>3.4904471218549546E-2</c:v>
                </c:pt>
                <c:pt idx="37">
                  <c:v>2.7719980147468376E-2</c:v>
                </c:pt>
                <c:pt idx="38">
                  <c:v>2.0215661602754755E-2</c:v>
                </c:pt>
                <c:pt idx="39">
                  <c:v>1.2396732904266872E-2</c:v>
                </c:pt>
                <c:pt idx="40">
                  <c:v>9.206421984079222E-4</c:v>
                </c:pt>
              </c:numCache>
            </c:numRef>
          </c:yVal>
          <c:smooth val="0"/>
          <c:extLst>
            <c:ext xmlns:c16="http://schemas.microsoft.com/office/drawing/2014/chart" uri="{C3380CC4-5D6E-409C-BE32-E72D297353CC}">
              <c16:uniqueId val="{00000001-DC25-4C68-9C55-571D14EF038C}"/>
            </c:ext>
          </c:extLst>
        </c:ser>
        <c:ser>
          <c:idx val="2"/>
          <c:order val="2"/>
          <c:spPr>
            <a:ln w="9525">
              <a:solidFill>
                <a:prstClr val="black"/>
              </a:solidFill>
            </a:ln>
          </c:spPr>
          <c:marker>
            <c:symbol val="none"/>
          </c:marker>
          <c:xVal>
            <c:numRef>
              <c:f>'Main - US'!$AN$17:$AN$57</c:f>
              <c:numCache>
                <c:formatCode>General</c:formatCode>
                <c:ptCount val="41"/>
                <c:pt idx="0">
                  <c:v>0</c:v>
                </c:pt>
                <c:pt idx="1">
                  <c:v>6.2077327653730363E-3</c:v>
                </c:pt>
                <c:pt idx="2">
                  <c:v>1.0749968391593511E-2</c:v>
                </c:pt>
                <c:pt idx="3">
                  <c:v>1.5459912444439425E-2</c:v>
                </c:pt>
                <c:pt idx="4">
                  <c:v>2.0210159315717385E-2</c:v>
                </c:pt>
                <c:pt idx="5">
                  <c:v>2.4970584420141665E-2</c:v>
                </c:pt>
                <c:pt idx="6">
                  <c:v>2.973079005992187E-2</c:v>
                </c:pt>
                <c:pt idx="7">
                  <c:v>3.4486571259797774E-2</c:v>
                </c:pt>
                <c:pt idx="8">
                  <c:v>3.9236151543536407E-2</c:v>
                </c:pt>
                <c:pt idx="9">
                  <c:v>4.3978843121023049E-2</c:v>
                </c:pt>
                <c:pt idx="10">
                  <c:v>5.9106805197008359E-2</c:v>
                </c:pt>
                <c:pt idx="11">
                  <c:v>7.318000312702086E-2</c:v>
                </c:pt>
                <c:pt idx="12">
                  <c:v>8.722254366570148E-2</c:v>
                </c:pt>
                <c:pt idx="13">
                  <c:v>0.10123805439903173</c:v>
                </c:pt>
                <c:pt idx="14">
                  <c:v>0.11523249165619351</c:v>
                </c:pt>
                <c:pt idx="15">
                  <c:v>0.12921238960298656</c:v>
                </c:pt>
                <c:pt idx="16">
                  <c:v>0.14318422419874069</c:v>
                </c:pt>
                <c:pt idx="17">
                  <c:v>0.15715417125595782</c:v>
                </c:pt>
                <c:pt idx="18">
                  <c:v>0.17112801817374626</c:v>
                </c:pt>
                <c:pt idx="19">
                  <c:v>0.19012331452122225</c:v>
                </c:pt>
                <c:pt idx="20">
                  <c:v>0.20878752132671505</c:v>
                </c:pt>
                <c:pt idx="21">
                  <c:v>0.22749027718154108</c:v>
                </c:pt>
                <c:pt idx="22">
                  <c:v>0.24624069499227202</c:v>
                </c:pt>
                <c:pt idx="23">
                  <c:v>0.26504685624022317</c:v>
                </c:pt>
                <c:pt idx="24">
                  <c:v>0.28391587244365413</c:v>
                </c:pt>
                <c:pt idx="25">
                  <c:v>0.3028539478183272</c:v>
                </c:pt>
                <c:pt idx="26">
                  <c:v>0.3218664412170969</c:v>
                </c:pt>
                <c:pt idx="27">
                  <c:v>0.34095792673811215</c:v>
                </c:pt>
                <c:pt idx="28">
                  <c:v>0.36013225288339568</c:v>
                </c:pt>
                <c:pt idx="29">
                  <c:v>0.40983074971684208</c:v>
                </c:pt>
                <c:pt idx="30">
                  <c:v>0.45857945145407863</c:v>
                </c:pt>
                <c:pt idx="31">
                  <c:v>0.50791070554086382</c:v>
                </c:pt>
                <c:pt idx="32">
                  <c:v>0.5578281132875158</c:v>
                </c:pt>
                <c:pt idx="33">
                  <c:v>0.60832774851088112</c:v>
                </c:pt>
                <c:pt idx="34">
                  <c:v>0.65939926603217192</c:v>
                </c:pt>
                <c:pt idx="35">
                  <c:v>0.71102950070538129</c:v>
                </c:pt>
                <c:pt idx="36">
                  <c:v>0.7632055438724854</c:v>
                </c:pt>
                <c:pt idx="37">
                  <c:v>0.81591730810907281</c:v>
                </c:pt>
                <c:pt idx="38">
                  <c:v>0.86915961371043793</c:v>
                </c:pt>
                <c:pt idx="39">
                  <c:v>0.92293384544046853</c:v>
                </c:pt>
                <c:pt idx="40">
                  <c:v>0.99913975704448654</c:v>
                </c:pt>
              </c:numCache>
            </c:numRef>
          </c:xVal>
          <c:yVal>
            <c:numRef>
              <c:f>'Main - US'!$AO$17:$AO$57</c:f>
              <c:numCache>
                <c:formatCode>General</c:formatCode>
                <c:ptCount val="41"/>
                <c:pt idx="0">
                  <c:v>0</c:v>
                </c:pt>
                <c:pt idx="1">
                  <c:v>-1.1656410689288414E-2</c:v>
                </c:pt>
                <c:pt idx="2">
                  <c:v>-1.6033059241838572E-2</c:v>
                </c:pt>
                <c:pt idx="3">
                  <c:v>-1.9159711292609728E-2</c:v>
                </c:pt>
                <c:pt idx="4">
                  <c:v>-2.1646835448969295E-2</c:v>
                </c:pt>
                <c:pt idx="5">
                  <c:v>-2.3725307096298821E-2</c:v>
                </c:pt>
                <c:pt idx="6">
                  <c:v>-2.5512669502747866E-2</c:v>
                </c:pt>
                <c:pt idx="7">
                  <c:v>-2.7078531826798723E-2</c:v>
                </c:pt>
                <c:pt idx="8">
                  <c:v>-2.8468185619584266E-2</c:v>
                </c:pt>
                <c:pt idx="9">
                  <c:v>-2.9713076633413483E-2</c:v>
                </c:pt>
                <c:pt idx="10">
                  <c:v>-3.2815414356687764E-2</c:v>
                </c:pt>
                <c:pt idx="11">
                  <c:v>-3.5162707085974264E-2</c:v>
                </c:pt>
                <c:pt idx="12">
                  <c:v>-3.6976379948171545E-2</c:v>
                </c:pt>
                <c:pt idx="13">
                  <c:v>-3.8379580164424547E-2</c:v>
                </c:pt>
                <c:pt idx="14">
                  <c:v>-3.9453463629554937E-2</c:v>
                </c:pt>
                <c:pt idx="15">
                  <c:v>-4.0255326801725604E-2</c:v>
                </c:pt>
                <c:pt idx="16">
                  <c:v>-4.0827771181404487E-2</c:v>
                </c:pt>
                <c:pt idx="17">
                  <c:v>-4.1203787955227056E-2</c:v>
                </c:pt>
                <c:pt idx="18">
                  <c:v>-4.1409782601258216E-2</c:v>
                </c:pt>
                <c:pt idx="19">
                  <c:v>-4.1518944084565246E-2</c:v>
                </c:pt>
                <c:pt idx="20">
                  <c:v>-4.1349542581247074E-2</c:v>
                </c:pt>
                <c:pt idx="21">
                  <c:v>-4.0992752193072926E-2</c:v>
                </c:pt>
                <c:pt idx="22">
                  <c:v>-4.0477888110450513E-2</c:v>
                </c:pt>
                <c:pt idx="23">
                  <c:v>-3.9830218333160326E-2</c:v>
                </c:pt>
                <c:pt idx="24">
                  <c:v>-3.9071908530901936E-2</c:v>
                </c:pt>
                <c:pt idx="25">
                  <c:v>-3.8222676066303557E-2</c:v>
                </c:pt>
                <c:pt idx="26">
                  <c:v>-3.7300253445708309E-2</c:v>
                </c:pt>
                <c:pt idx="27">
                  <c:v>-3.6320723489804571E-2</c:v>
                </c:pt>
                <c:pt idx="28">
                  <c:v>-3.5298766222536734E-2</c:v>
                </c:pt>
                <c:pt idx="29">
                  <c:v>-3.3126974429362924E-2</c:v>
                </c:pt>
                <c:pt idx="30">
                  <c:v>-3.0097147040158083E-2</c:v>
                </c:pt>
                <c:pt idx="31">
                  <c:v>-2.6852972410722518E-2</c:v>
                </c:pt>
                <c:pt idx="32">
                  <c:v>-2.3516888150077329E-2</c:v>
                </c:pt>
                <c:pt idx="33">
                  <c:v>-2.0188738364707404E-2</c:v>
                </c:pt>
                <c:pt idx="34">
                  <c:v>-1.6947356163853206E-2</c:v>
                </c:pt>
                <c:pt idx="35">
                  <c:v>-1.3852888868832361E-2</c:v>
                </c:pt>
                <c:pt idx="36">
                  <c:v>-1.0948915662993993E-2</c:v>
                </c:pt>
                <c:pt idx="37">
                  <c:v>-8.2644245919128168E-3</c:v>
                </c:pt>
                <c:pt idx="38">
                  <c:v>-5.8156616027547486E-3</c:v>
                </c:pt>
                <c:pt idx="39">
                  <c:v>-3.6078440153779878E-3</c:v>
                </c:pt>
                <c:pt idx="40">
                  <c:v>-9.206421984079222E-4</c:v>
                </c:pt>
              </c:numCache>
            </c:numRef>
          </c:yVal>
          <c:smooth val="0"/>
          <c:extLst>
            <c:ext xmlns:c16="http://schemas.microsoft.com/office/drawing/2014/chart" uri="{C3380CC4-5D6E-409C-BE32-E72D297353CC}">
              <c16:uniqueId val="{00000002-DC25-4C68-9C55-571D14EF038C}"/>
            </c:ext>
          </c:extLst>
        </c:ser>
        <c:dLbls>
          <c:showLegendKey val="0"/>
          <c:showVal val="0"/>
          <c:showCatName val="0"/>
          <c:showSerName val="0"/>
          <c:showPercent val="0"/>
          <c:showBubbleSize val="0"/>
        </c:dLbls>
        <c:axId val="689134832"/>
        <c:axId val="689137184"/>
      </c:scatterChart>
      <c:valAx>
        <c:axId val="689134832"/>
        <c:scaling>
          <c:orientation val="minMax"/>
          <c:max val="1"/>
          <c:min val="0"/>
        </c:scaling>
        <c:delete val="0"/>
        <c:axPos val="b"/>
        <c:majorGridlines>
          <c:spPr>
            <a:ln>
              <a:solidFill>
                <a:schemeClr val="bg1">
                  <a:lumMod val="75000"/>
                </a:schemeClr>
              </a:solidFill>
            </a:ln>
          </c:spPr>
        </c:majorGridlines>
        <c:numFmt formatCode="General" sourceLinked="1"/>
        <c:majorTickMark val="out"/>
        <c:minorTickMark val="none"/>
        <c:tickLblPos val="nextTo"/>
        <c:crossAx val="689137184"/>
        <c:crosses val="autoZero"/>
        <c:crossBetween val="midCat"/>
      </c:valAx>
      <c:valAx>
        <c:axId val="689137184"/>
        <c:scaling>
          <c:orientation val="minMax"/>
          <c:max val="0.30000000000000032"/>
          <c:min val="-0.30000000000000032"/>
        </c:scaling>
        <c:delete val="0"/>
        <c:axPos val="l"/>
        <c:majorGridlines>
          <c:spPr>
            <a:ln>
              <a:solidFill>
                <a:schemeClr val="bg1">
                  <a:lumMod val="75000"/>
                </a:schemeClr>
              </a:solidFill>
            </a:ln>
          </c:spPr>
        </c:majorGridlines>
        <c:numFmt formatCode="0.0000" sourceLinked="1"/>
        <c:majorTickMark val="out"/>
        <c:minorTickMark val="none"/>
        <c:tickLblPos val="nextTo"/>
        <c:crossAx val="689134832"/>
        <c:crosses val="autoZero"/>
        <c:crossBetween val="midCat"/>
      </c:valAx>
    </c:plotArea>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577" name="Picture 576">
          <a:hlinkClick xmlns:r="http://schemas.openxmlformats.org/officeDocument/2006/relationships" r:id="rId1"/>
          <a:extLst>
            <a:ext uri="{FF2B5EF4-FFF2-40B4-BE49-F238E27FC236}">
              <a16:creationId xmlns:a16="http://schemas.microsoft.com/office/drawing/2014/main" id="{00000000-0008-0000-0200-000041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oneCellAnchor>
    <xdr:from>
      <xdr:col>0</xdr:col>
      <xdr:colOff>40822</xdr:colOff>
      <xdr:row>62</xdr:row>
      <xdr:rowOff>40821</xdr:rowOff>
    </xdr:from>
    <xdr:ext cx="2496910" cy="501511"/>
    <xdr:pic>
      <xdr:nvPicPr>
        <xdr:cNvPr id="3" name="Picture 2">
          <a:hlinkClick xmlns:r="http://schemas.openxmlformats.org/officeDocument/2006/relationships" r:id="rId1"/>
          <a:extLst>
            <a:ext uri="{FF2B5EF4-FFF2-40B4-BE49-F238E27FC236}">
              <a16:creationId xmlns:a16="http://schemas.microsoft.com/office/drawing/2014/main" id="{197328D9-2568-4A50-99E0-C685E125E3B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83821"/>
          <a:ext cx="2496910" cy="501511"/>
        </a:xfrm>
        <a:prstGeom prst="rect">
          <a:avLst/>
        </a:prstGeom>
      </xdr:spPr>
    </xdr:pic>
    <xdr:clientData/>
  </xdr:oneCellAnchor>
  <xdr:oneCellAnchor>
    <xdr:from>
      <xdr:col>1</xdr:col>
      <xdr:colOff>387570</xdr:colOff>
      <xdr:row>17</xdr:row>
      <xdr:rowOff>124259</xdr:rowOff>
    </xdr:from>
    <xdr:ext cx="4952999" cy="376095"/>
    <xdr:pic>
      <xdr:nvPicPr>
        <xdr:cNvPr id="4" name="Picture 1" descr=" y_t = \frac{t}{0.2}c\, \left[ 0.2969 \sqrt{\frac{x}{c}} - 0.1260 \left(\frac{x}{c}\right) - 0.3516 \left(\frac{x}{c}\right)^2 + 0.2843 \left(\frac{x}{c}\right)^3 - 0.1015 \left( \frac{x}{c} \right)^4 \right],">
          <a:extLst>
            <a:ext uri="{FF2B5EF4-FFF2-40B4-BE49-F238E27FC236}">
              <a16:creationId xmlns:a16="http://schemas.microsoft.com/office/drawing/2014/main" id="{00000000-0008-0000-0300-000001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97170" y="20793509"/>
          <a:ext cx="4952999" cy="376095"/>
        </a:xfrm>
        <a:prstGeom prst="rect">
          <a:avLst/>
        </a:prstGeom>
        <a:noFill/>
      </xdr:spPr>
    </xdr:pic>
    <xdr:clientData/>
  </xdr:oneCellAnchor>
  <xdr:oneCellAnchor>
    <xdr:from>
      <xdr:col>4</xdr:col>
      <xdr:colOff>121278</xdr:colOff>
      <xdr:row>21</xdr:row>
      <xdr:rowOff>60433</xdr:rowOff>
    </xdr:from>
    <xdr:ext cx="2979756" cy="821569"/>
    <xdr:pic>
      <xdr:nvPicPr>
        <xdr:cNvPr id="5" name="Picture 2" descr="y_c = \left\{\begin{array}{ll}&#10;\displaystyle{m\, \frac{x  }{ p     ^2} \left( 2\, p\, - \frac{x}{c}   \right)}, &amp; 0 \leq x \leq pc \\&#10;\\&#10;\displaystyle{m\, \frac{c-x}{(1 - p)^2} \left( 1 + \frac{x}{c} - 2\, p \right)}, &amp; pc \leq x \leq c&#10;\end{array} \right. ">
          <a:extLst>
            <a:ext uri="{FF2B5EF4-FFF2-40B4-BE49-F238E27FC236}">
              <a16:creationId xmlns:a16="http://schemas.microsoft.com/office/drawing/2014/main" id="{00000000-0008-0000-0300-0000021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559678" y="21529783"/>
          <a:ext cx="2979756" cy="821569"/>
        </a:xfrm>
        <a:prstGeom prst="rect">
          <a:avLst/>
        </a:prstGeom>
        <a:noFill/>
      </xdr:spPr>
    </xdr:pic>
    <xdr:clientData/>
  </xdr:oneCellAnchor>
  <xdr:twoCellAnchor>
    <xdr:from>
      <xdr:col>0</xdr:col>
      <xdr:colOff>605117</xdr:colOff>
      <xdr:row>33</xdr:row>
      <xdr:rowOff>145677</xdr:rowOff>
    </xdr:from>
    <xdr:to>
      <xdr:col>10</xdr:col>
      <xdr:colOff>0</xdr:colOff>
      <xdr:row>52</xdr:row>
      <xdr:rowOff>56030</xdr:rowOff>
    </xdr:to>
    <xdr:graphicFrame macro="">
      <xdr:nvGraphicFramePr>
        <xdr:cNvPr id="6" name="Chart 5">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bottaerospace.com/wpdm-package/naca-report-460-the-characteristics-of-78-related-airfoil-sections-from-tests-in-the-variable-density-wind-tunnel"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4" zoomScaleNormal="100" zoomScaleSheetLayoutView="100" workbookViewId="0"/>
  </sheetViews>
  <sheetFormatPr defaultRowHeight="15.75" x14ac:dyDescent="0.25"/>
  <cols>
    <col min="1" max="2" width="9.140625" style="43"/>
    <col min="3" max="3" width="10.7109375" style="43" bestFit="1" customWidth="1"/>
    <col min="4" max="11" width="9.140625" style="43"/>
    <col min="12" max="12" width="5.42578125" style="28" customWidth="1"/>
    <col min="13" max="17" width="5.28515625" style="60" customWidth="1"/>
    <col min="18" max="19" width="5.28515625" style="61" customWidth="1"/>
    <col min="20" max="25" width="9.140625" style="63"/>
    <col min="26" max="16384" width="9.140625" style="43"/>
  </cols>
  <sheetData>
    <row r="1" spans="1:25" s="28" customFormat="1" ht="12.75" x14ac:dyDescent="0.2">
      <c r="A1" s="24"/>
      <c r="B1" s="25" t="s">
        <v>3</v>
      </c>
      <c r="C1" s="26" t="s">
        <v>2</v>
      </c>
      <c r="D1" s="24"/>
      <c r="E1" s="24"/>
      <c r="F1" s="25" t="s">
        <v>19</v>
      </c>
      <c r="G1" s="27"/>
      <c r="H1" s="24"/>
      <c r="I1" s="24"/>
      <c r="J1" s="24"/>
      <c r="K1" s="24"/>
      <c r="M1" s="56"/>
      <c r="N1" s="56"/>
      <c r="O1" s="56"/>
      <c r="P1" s="56"/>
      <c r="Q1" s="56"/>
      <c r="R1" s="56"/>
      <c r="S1" s="56"/>
      <c r="T1" s="57"/>
      <c r="U1" s="57"/>
      <c r="V1" s="57"/>
      <c r="W1" s="58"/>
      <c r="X1" s="59"/>
      <c r="Y1" s="57"/>
    </row>
    <row r="2" spans="1:25" s="28" customFormat="1" ht="12.75" x14ac:dyDescent="0.2">
      <c r="A2" s="24"/>
      <c r="B2" s="25" t="s">
        <v>4</v>
      </c>
      <c r="C2" s="26" t="s">
        <v>5</v>
      </c>
      <c r="D2" s="24"/>
      <c r="E2" s="24"/>
      <c r="F2" s="25" t="s">
        <v>6</v>
      </c>
      <c r="G2" s="26"/>
      <c r="H2" s="24"/>
      <c r="I2" s="24"/>
      <c r="J2" s="24"/>
      <c r="K2" s="24"/>
      <c r="M2" s="56"/>
      <c r="N2" s="56"/>
      <c r="O2" s="56"/>
      <c r="P2" s="56"/>
      <c r="Q2" s="56"/>
      <c r="R2" s="56"/>
      <c r="S2" s="56"/>
      <c r="T2" s="57"/>
      <c r="U2" s="57"/>
      <c r="V2" s="57"/>
      <c r="W2" s="58"/>
      <c r="X2" s="59"/>
      <c r="Y2" s="57"/>
    </row>
    <row r="3" spans="1:25" s="28" customFormat="1" ht="12.75" x14ac:dyDescent="0.2">
      <c r="A3" s="24"/>
      <c r="B3" s="25" t="s">
        <v>1</v>
      </c>
      <c r="C3" s="33"/>
      <c r="D3" s="24"/>
      <c r="E3" s="24"/>
      <c r="F3" s="25" t="s">
        <v>0</v>
      </c>
      <c r="G3" s="26"/>
      <c r="H3" s="24"/>
      <c r="I3" s="24"/>
      <c r="J3" s="24"/>
      <c r="K3" s="24"/>
      <c r="M3" s="56"/>
      <c r="N3" s="56"/>
      <c r="O3" s="56"/>
      <c r="P3" s="56"/>
      <c r="Q3" s="56"/>
      <c r="R3" s="56"/>
      <c r="S3" s="56"/>
      <c r="T3" s="57"/>
      <c r="U3" s="57"/>
      <c r="V3" s="57"/>
      <c r="W3" s="58"/>
      <c r="X3" s="59"/>
      <c r="Y3" s="57"/>
    </row>
    <row r="4" spans="1:25" s="28" customFormat="1" ht="12.75" x14ac:dyDescent="0.2">
      <c r="A4" s="24"/>
      <c r="B4" s="25" t="s">
        <v>25</v>
      </c>
      <c r="C4" s="27"/>
      <c r="D4" s="24"/>
      <c r="E4" s="24"/>
      <c r="F4" s="25" t="s">
        <v>26</v>
      </c>
      <c r="G4" s="26" t="s">
        <v>27</v>
      </c>
      <c r="H4" s="24"/>
      <c r="I4" s="24"/>
      <c r="J4" s="24"/>
      <c r="K4" s="24"/>
      <c r="M4" s="56"/>
      <c r="N4" s="56"/>
      <c r="O4" s="56"/>
      <c r="P4" s="56"/>
      <c r="Q4" s="60"/>
      <c r="R4" s="61"/>
      <c r="S4" s="61"/>
      <c r="T4" s="57"/>
      <c r="U4" s="57"/>
      <c r="V4" s="57"/>
      <c r="W4" s="58"/>
      <c r="X4" s="59"/>
      <c r="Y4" s="57"/>
    </row>
    <row r="5" spans="1:25" s="28" customFormat="1" ht="12.75" x14ac:dyDescent="0.2">
      <c r="A5" s="24"/>
      <c r="B5" s="25" t="s">
        <v>28</v>
      </c>
      <c r="C5" s="27"/>
      <c r="D5" s="24"/>
      <c r="E5" s="25"/>
      <c r="F5" s="24"/>
      <c r="G5" s="24"/>
      <c r="H5" s="24"/>
      <c r="I5" s="24"/>
      <c r="J5" s="24"/>
      <c r="K5" s="24"/>
      <c r="M5" s="56"/>
      <c r="N5" s="56"/>
      <c r="O5" s="56"/>
      <c r="P5" s="56"/>
      <c r="Q5" s="60"/>
      <c r="R5" s="61"/>
      <c r="S5" s="61"/>
      <c r="T5" s="57"/>
      <c r="U5" s="57"/>
      <c r="V5" s="57"/>
      <c r="W5" s="58"/>
      <c r="X5" s="59"/>
      <c r="Y5" s="57"/>
    </row>
    <row r="6" spans="1:25" s="28" customFormat="1" ht="12.75" x14ac:dyDescent="0.2">
      <c r="A6" s="24"/>
      <c r="B6" s="24" t="s">
        <v>7</v>
      </c>
      <c r="C6" s="36"/>
      <c r="D6" s="24"/>
      <c r="E6" s="24"/>
      <c r="F6" s="24"/>
      <c r="G6" s="24"/>
      <c r="H6" s="24"/>
      <c r="I6" s="24"/>
      <c r="J6" s="24"/>
      <c r="K6" s="24"/>
      <c r="M6" s="56"/>
      <c r="N6" s="56"/>
      <c r="O6" s="56"/>
      <c r="P6" s="56"/>
      <c r="Q6" s="60"/>
      <c r="R6" s="61"/>
      <c r="S6" s="61"/>
      <c r="T6" s="57"/>
      <c r="U6" s="57"/>
      <c r="V6" s="57"/>
      <c r="W6" s="58"/>
      <c r="X6" s="59"/>
      <c r="Y6" s="57"/>
    </row>
    <row r="7" spans="1:25" s="28" customFormat="1" ht="12.75" x14ac:dyDescent="0.2">
      <c r="A7" s="24"/>
      <c r="B7" s="24"/>
      <c r="C7" s="24"/>
      <c r="D7" s="24"/>
      <c r="E7" s="24"/>
      <c r="F7" s="24"/>
      <c r="G7" s="24"/>
      <c r="H7" s="24"/>
      <c r="I7" s="24"/>
      <c r="J7" s="24"/>
      <c r="K7" s="24"/>
      <c r="M7" s="56"/>
      <c r="N7" s="56"/>
      <c r="O7" s="56"/>
      <c r="P7" s="56"/>
      <c r="Q7" s="60"/>
      <c r="R7" s="61"/>
      <c r="S7" s="61"/>
      <c r="T7" s="57"/>
      <c r="U7" s="57"/>
      <c r="V7" s="57"/>
      <c r="W7" s="58"/>
      <c r="X7" s="59"/>
      <c r="Y7" s="57"/>
    </row>
    <row r="8" spans="1:25" s="28" customFormat="1" ht="12.75" x14ac:dyDescent="0.2">
      <c r="A8" s="37"/>
      <c r="E8" s="30"/>
      <c r="F8" s="31"/>
      <c r="H8" s="38"/>
      <c r="I8" s="30"/>
      <c r="J8" s="39"/>
      <c r="K8" s="40"/>
      <c r="L8" s="41"/>
      <c r="M8" s="56"/>
      <c r="N8" s="56"/>
      <c r="O8" s="56"/>
      <c r="P8" s="56"/>
      <c r="Q8" s="60"/>
      <c r="R8" s="61"/>
      <c r="S8" s="61"/>
      <c r="T8" s="57"/>
      <c r="U8" s="57"/>
      <c r="V8" s="57"/>
      <c r="W8" s="57"/>
      <c r="X8" s="57"/>
      <c r="Y8" s="57"/>
    </row>
    <row r="9" spans="1:25" s="28" customFormat="1" ht="12.75" x14ac:dyDescent="0.2">
      <c r="E9" s="30"/>
      <c r="F9" s="38"/>
      <c r="H9" s="38"/>
      <c r="I9" s="30"/>
      <c r="J9" s="40"/>
      <c r="K9" s="40"/>
      <c r="L9" s="41"/>
      <c r="M9" s="56"/>
      <c r="N9" s="56"/>
      <c r="O9" s="56"/>
      <c r="P9" s="56"/>
      <c r="Q9" s="60"/>
      <c r="R9" s="61"/>
      <c r="S9" s="61"/>
      <c r="T9" s="57"/>
      <c r="U9" s="57"/>
      <c r="V9" s="57"/>
      <c r="W9" s="57"/>
      <c r="X9" s="57"/>
      <c r="Y9" s="57"/>
    </row>
    <row r="10" spans="1:25" s="28" customFormat="1" ht="12.75" x14ac:dyDescent="0.2">
      <c r="E10" s="30"/>
      <c r="F10" s="38"/>
      <c r="H10" s="38"/>
      <c r="I10" s="30"/>
      <c r="J10" s="31"/>
      <c r="K10" s="38"/>
      <c r="L10" s="41"/>
      <c r="M10" s="56"/>
      <c r="N10" s="56"/>
      <c r="O10" s="56"/>
      <c r="P10" s="56"/>
      <c r="Q10" s="60"/>
      <c r="R10" s="61"/>
      <c r="S10" s="61"/>
      <c r="T10" s="57"/>
      <c r="U10" s="57"/>
      <c r="V10" s="57"/>
      <c r="W10" s="57"/>
      <c r="X10" s="57"/>
      <c r="Y10" s="57"/>
    </row>
    <row r="11" spans="1:25" s="28" customFormat="1" ht="12.75" x14ac:dyDescent="0.2">
      <c r="E11" s="30"/>
      <c r="F11" s="38"/>
      <c r="I11" s="42"/>
      <c r="J11" s="31"/>
      <c r="M11" s="56"/>
      <c r="N11" s="56"/>
      <c r="O11" s="56"/>
      <c r="P11" s="56"/>
      <c r="Q11" s="56"/>
      <c r="R11" s="56"/>
      <c r="S11" s="56"/>
      <c r="T11" s="57"/>
      <c r="U11" s="57"/>
      <c r="V11" s="57"/>
      <c r="W11" s="57"/>
      <c r="X11" s="57"/>
      <c r="Y11" s="57"/>
    </row>
    <row r="12" spans="1:25" x14ac:dyDescent="0.25">
      <c r="C12" s="44" t="str">
        <f>G4</f>
        <v>IMPORTANT INFORMATION</v>
      </c>
      <c r="M12" s="56"/>
      <c r="N12" s="56"/>
      <c r="O12" s="56"/>
      <c r="P12" s="56"/>
      <c r="Q12" s="62"/>
      <c r="R12" s="62"/>
      <c r="S12" s="62"/>
    </row>
    <row r="13" spans="1:25" s="28" customFormat="1" ht="12.75" x14ac:dyDescent="0.2">
      <c r="M13" s="56"/>
      <c r="N13" s="56"/>
      <c r="O13" s="56"/>
      <c r="P13" s="56"/>
      <c r="Q13" s="56"/>
      <c r="R13" s="56"/>
      <c r="S13" s="56"/>
      <c r="T13" s="57"/>
      <c r="U13" s="57"/>
      <c r="V13" s="57"/>
      <c r="W13" s="57"/>
      <c r="X13" s="57"/>
      <c r="Y13" s="57"/>
    </row>
    <row r="14" spans="1:25" s="28" customFormat="1" ht="12.75" x14ac:dyDescent="0.2">
      <c r="B14" s="45" t="s">
        <v>32</v>
      </c>
      <c r="M14" s="56"/>
      <c r="N14" s="56"/>
      <c r="O14" s="56"/>
      <c r="P14" s="56"/>
      <c r="Q14" s="56"/>
      <c r="R14" s="56"/>
      <c r="S14" s="56"/>
      <c r="T14" s="57"/>
      <c r="U14" s="57"/>
      <c r="V14" s="57"/>
      <c r="W14" s="57"/>
      <c r="X14" s="57"/>
      <c r="Y14" s="57"/>
    </row>
    <row r="15" spans="1:25" s="28" customFormat="1" ht="12.75" x14ac:dyDescent="0.2">
      <c r="A15" s="46"/>
      <c r="K15" s="46"/>
      <c r="M15" s="60"/>
      <c r="N15" s="60"/>
      <c r="O15" s="60"/>
      <c r="P15" s="60"/>
      <c r="Q15" s="60"/>
      <c r="R15" s="61"/>
      <c r="S15" s="61"/>
      <c r="T15" s="57"/>
      <c r="U15" s="57"/>
      <c r="V15" s="57"/>
      <c r="W15" s="57"/>
      <c r="X15" s="57"/>
      <c r="Y15" s="57"/>
    </row>
    <row r="16" spans="1:25" s="28" customFormat="1" ht="12.75" customHeight="1" x14ac:dyDescent="0.2">
      <c r="B16" s="77" t="s">
        <v>39</v>
      </c>
      <c r="C16" s="77"/>
      <c r="D16" s="77"/>
      <c r="E16" s="77"/>
      <c r="F16" s="77"/>
      <c r="G16" s="77"/>
      <c r="H16" s="77"/>
      <c r="I16" s="77"/>
      <c r="J16" s="77"/>
      <c r="M16" s="60"/>
      <c r="N16" s="60"/>
      <c r="O16" s="60"/>
      <c r="P16" s="60"/>
      <c r="Q16" s="60"/>
      <c r="R16" s="61"/>
      <c r="S16" s="61"/>
      <c r="T16" s="57"/>
      <c r="U16" s="57"/>
      <c r="V16" s="57"/>
      <c r="W16" s="57"/>
      <c r="X16" s="57"/>
      <c r="Y16" s="57"/>
    </row>
    <row r="17" spans="1:25" s="28" customFormat="1" ht="12.75" x14ac:dyDescent="0.2">
      <c r="B17" s="77"/>
      <c r="C17" s="77"/>
      <c r="D17" s="77"/>
      <c r="E17" s="77"/>
      <c r="F17" s="77"/>
      <c r="G17" s="77"/>
      <c r="H17" s="77"/>
      <c r="I17" s="77"/>
      <c r="J17" s="77"/>
      <c r="M17" s="60"/>
      <c r="N17" s="60"/>
      <c r="O17" s="60"/>
      <c r="P17" s="60"/>
      <c r="Q17" s="60"/>
      <c r="R17" s="61"/>
      <c r="S17" s="61"/>
      <c r="T17" s="57"/>
      <c r="U17" s="57"/>
      <c r="V17" s="57"/>
      <c r="W17" s="57"/>
      <c r="X17" s="57"/>
      <c r="Y17" s="57"/>
    </row>
    <row r="18" spans="1:25" s="28" customFormat="1" ht="12.75" x14ac:dyDescent="0.2">
      <c r="B18" s="77"/>
      <c r="C18" s="77"/>
      <c r="D18" s="77"/>
      <c r="E18" s="77"/>
      <c r="F18" s="77"/>
      <c r="G18" s="77"/>
      <c r="H18" s="77"/>
      <c r="I18" s="77"/>
      <c r="J18" s="77"/>
      <c r="M18" s="60"/>
      <c r="N18" s="60"/>
      <c r="O18" s="60"/>
      <c r="P18" s="60"/>
      <c r="Q18" s="60"/>
      <c r="R18" s="61"/>
      <c r="S18" s="61"/>
      <c r="T18" s="57"/>
      <c r="U18" s="57"/>
      <c r="V18" s="57"/>
      <c r="W18" s="57"/>
      <c r="X18" s="57"/>
      <c r="Y18" s="57"/>
    </row>
    <row r="19" spans="1:25" s="28" customFormat="1" ht="12.75" x14ac:dyDescent="0.2">
      <c r="B19" s="77"/>
      <c r="C19" s="77"/>
      <c r="D19" s="77"/>
      <c r="E19" s="77"/>
      <c r="F19" s="77"/>
      <c r="G19" s="77"/>
      <c r="H19" s="77"/>
      <c r="I19" s="77"/>
      <c r="J19" s="77"/>
      <c r="M19" s="60"/>
      <c r="N19" s="60"/>
      <c r="O19" s="60"/>
      <c r="P19" s="60"/>
      <c r="Q19" s="60"/>
      <c r="R19" s="61"/>
      <c r="S19" s="61"/>
      <c r="T19" s="57"/>
      <c r="U19" s="57"/>
      <c r="V19" s="57"/>
      <c r="W19" s="57"/>
      <c r="X19" s="57"/>
      <c r="Y19" s="57"/>
    </row>
    <row r="20" spans="1:25" s="28" customFormat="1" ht="12.75" customHeight="1" x14ac:dyDescent="0.2">
      <c r="A20" s="46"/>
      <c r="B20" s="47" t="s">
        <v>40</v>
      </c>
      <c r="C20" s="46"/>
      <c r="D20" s="46"/>
      <c r="E20" s="46"/>
      <c r="F20" s="46"/>
      <c r="G20" s="46"/>
      <c r="H20" s="46"/>
      <c r="I20" s="46"/>
      <c r="J20" s="46"/>
      <c r="K20" s="46"/>
      <c r="M20" s="60"/>
      <c r="N20" s="60"/>
      <c r="O20" s="60"/>
      <c r="P20" s="60"/>
      <c r="Q20" s="60"/>
      <c r="R20" s="61"/>
      <c r="S20" s="61"/>
      <c r="T20" s="57"/>
      <c r="U20" s="57"/>
      <c r="V20" s="57"/>
      <c r="W20" s="57"/>
      <c r="X20" s="57"/>
      <c r="Y20" s="57"/>
    </row>
    <row r="21" spans="1:25" s="28" customFormat="1" ht="12.75" x14ac:dyDescent="0.2">
      <c r="A21" s="46"/>
      <c r="B21" s="47"/>
      <c r="C21" s="46"/>
      <c r="D21" s="46"/>
      <c r="E21" s="46"/>
      <c r="F21" s="46"/>
      <c r="G21" s="46"/>
      <c r="H21" s="46"/>
      <c r="I21" s="46"/>
      <c r="J21" s="46"/>
      <c r="K21" s="46"/>
      <c r="M21" s="60"/>
      <c r="N21" s="60"/>
      <c r="O21" s="60"/>
      <c r="P21" s="60"/>
      <c r="Q21" s="60"/>
      <c r="R21" s="61"/>
      <c r="S21" s="61"/>
      <c r="T21" s="57"/>
      <c r="U21" s="57"/>
      <c r="V21" s="57"/>
      <c r="W21" s="57"/>
      <c r="X21" s="57"/>
      <c r="Y21" s="57"/>
    </row>
    <row r="22" spans="1:25" s="28" customFormat="1" ht="12.75" customHeight="1" x14ac:dyDescent="0.2">
      <c r="A22" s="46"/>
      <c r="B22" s="77" t="s">
        <v>41</v>
      </c>
      <c r="C22" s="77"/>
      <c r="D22" s="77"/>
      <c r="E22" s="77"/>
      <c r="F22" s="77"/>
      <c r="G22" s="77"/>
      <c r="H22" s="77"/>
      <c r="I22" s="77"/>
      <c r="J22" s="77"/>
      <c r="K22" s="46"/>
      <c r="M22" s="60"/>
      <c r="N22" s="60"/>
      <c r="O22" s="60"/>
      <c r="P22" s="60"/>
      <c r="Q22" s="60"/>
      <c r="R22" s="61"/>
      <c r="S22" s="61"/>
      <c r="T22" s="57"/>
      <c r="U22" s="57"/>
      <c r="V22" s="57"/>
      <c r="W22" s="57"/>
      <c r="X22" s="57"/>
      <c r="Y22" s="57"/>
    </row>
    <row r="23" spans="1:25" s="28" customFormat="1" ht="12.75" x14ac:dyDescent="0.2">
      <c r="A23" s="46"/>
      <c r="B23" s="77"/>
      <c r="C23" s="77"/>
      <c r="D23" s="77"/>
      <c r="E23" s="77"/>
      <c r="F23" s="77"/>
      <c r="G23" s="77"/>
      <c r="H23" s="77"/>
      <c r="I23" s="77"/>
      <c r="J23" s="77"/>
      <c r="K23" s="46"/>
      <c r="M23" s="60"/>
      <c r="N23" s="60"/>
      <c r="O23" s="60"/>
      <c r="P23" s="60"/>
      <c r="Q23" s="60"/>
      <c r="R23" s="61"/>
      <c r="S23" s="64"/>
      <c r="T23" s="57"/>
      <c r="U23" s="57"/>
      <c r="V23" s="57"/>
      <c r="W23" s="57"/>
      <c r="X23" s="57"/>
      <c r="Y23" s="57"/>
    </row>
    <row r="24" spans="1:25" s="28" customFormat="1" ht="12.75" x14ac:dyDescent="0.2">
      <c r="A24" s="46"/>
      <c r="B24" s="77"/>
      <c r="C24" s="77"/>
      <c r="D24" s="77"/>
      <c r="E24" s="77"/>
      <c r="F24" s="77"/>
      <c r="G24" s="77"/>
      <c r="H24" s="77"/>
      <c r="I24" s="77"/>
      <c r="J24" s="77"/>
      <c r="K24" s="46"/>
      <c r="M24" s="60"/>
      <c r="N24" s="60"/>
      <c r="O24" s="60"/>
      <c r="P24" s="60"/>
      <c r="Q24" s="60"/>
      <c r="R24" s="61"/>
      <c r="S24" s="64"/>
      <c r="T24" s="57"/>
      <c r="U24" s="57"/>
      <c r="V24" s="57"/>
      <c r="W24" s="57"/>
      <c r="X24" s="57"/>
      <c r="Y24" s="57"/>
    </row>
    <row r="25" spans="1:25" s="28" customFormat="1" ht="12.75" customHeight="1" x14ac:dyDescent="0.2">
      <c r="A25" s="46"/>
      <c r="B25" s="65"/>
      <c r="C25" s="65"/>
      <c r="D25" s="65"/>
      <c r="E25" s="65"/>
      <c r="F25" s="66" t="s">
        <v>50</v>
      </c>
      <c r="G25" s="65"/>
      <c r="H25" s="65"/>
      <c r="I25" s="65"/>
      <c r="J25" s="65"/>
      <c r="K25" s="46"/>
      <c r="M25" s="60"/>
      <c r="N25" s="60"/>
      <c r="O25" s="60"/>
      <c r="P25" s="60"/>
      <c r="Q25" s="60"/>
      <c r="R25" s="61"/>
      <c r="S25" s="61"/>
      <c r="T25" s="57"/>
      <c r="U25" s="57"/>
      <c r="V25" s="57"/>
      <c r="W25" s="57"/>
      <c r="X25" s="57"/>
      <c r="Y25" s="57"/>
    </row>
    <row r="26" spans="1:25" s="28" customFormat="1" ht="12.75" customHeight="1" x14ac:dyDescent="0.2">
      <c r="A26" s="46"/>
      <c r="B26" s="77" t="s">
        <v>42</v>
      </c>
      <c r="C26" s="77"/>
      <c r="D26" s="77"/>
      <c r="E26" s="77"/>
      <c r="F26" s="77"/>
      <c r="G26" s="77"/>
      <c r="H26" s="77"/>
      <c r="I26" s="77"/>
      <c r="J26" s="77"/>
      <c r="K26" s="46"/>
      <c r="M26" s="60"/>
      <c r="N26" s="60"/>
      <c r="O26" s="60"/>
      <c r="P26" s="60"/>
      <c r="Q26" s="60"/>
      <c r="R26" s="61"/>
      <c r="S26" s="61"/>
      <c r="T26" s="57"/>
      <c r="U26" s="57"/>
      <c r="V26" s="57"/>
      <c r="W26" s="57"/>
      <c r="X26" s="57"/>
      <c r="Y26" s="57"/>
    </row>
    <row r="27" spans="1:25" s="28" customFormat="1" ht="12.75" x14ac:dyDescent="0.2">
      <c r="A27" s="46"/>
      <c r="B27" s="77"/>
      <c r="C27" s="77"/>
      <c r="D27" s="77"/>
      <c r="E27" s="77"/>
      <c r="F27" s="77"/>
      <c r="G27" s="77"/>
      <c r="H27" s="77"/>
      <c r="I27" s="77"/>
      <c r="J27" s="77"/>
      <c r="K27" s="46"/>
      <c r="M27" s="60"/>
      <c r="N27" s="60"/>
      <c r="O27" s="60"/>
      <c r="P27" s="60"/>
      <c r="Q27" s="60"/>
      <c r="R27" s="61"/>
      <c r="S27" s="61"/>
      <c r="T27" s="57"/>
      <c r="U27" s="57"/>
      <c r="V27" s="57"/>
      <c r="W27" s="57"/>
      <c r="X27" s="57"/>
      <c r="Y27" s="57"/>
    </row>
    <row r="28" spans="1:25" s="28" customFormat="1" ht="12.75" x14ac:dyDescent="0.2">
      <c r="A28" s="46"/>
      <c r="B28" s="65"/>
      <c r="C28" s="65"/>
      <c r="D28" s="65"/>
      <c r="E28" s="65"/>
      <c r="F28" s="65"/>
      <c r="G28" s="65"/>
      <c r="H28" s="65"/>
      <c r="I28" s="65"/>
      <c r="J28" s="65"/>
      <c r="K28" s="46"/>
      <c r="M28" s="60"/>
      <c r="N28" s="60"/>
      <c r="O28" s="60"/>
      <c r="P28" s="60"/>
      <c r="Q28" s="60"/>
      <c r="R28" s="61"/>
      <c r="S28" s="61"/>
      <c r="T28" s="57"/>
      <c r="U28" s="57"/>
      <c r="V28" s="57"/>
      <c r="W28" s="57"/>
      <c r="X28" s="57"/>
      <c r="Y28" s="57"/>
    </row>
    <row r="29" spans="1:25" s="28" customFormat="1" ht="12.75" customHeight="1" x14ac:dyDescent="0.2">
      <c r="A29" s="46"/>
      <c r="B29" s="77" t="s">
        <v>43</v>
      </c>
      <c r="C29" s="77"/>
      <c r="D29" s="77"/>
      <c r="E29" s="77"/>
      <c r="F29" s="77"/>
      <c r="G29" s="77"/>
      <c r="H29" s="77"/>
      <c r="I29" s="77"/>
      <c r="J29" s="77"/>
      <c r="K29" s="46"/>
      <c r="M29" s="60"/>
      <c r="N29" s="60"/>
      <c r="O29" s="60"/>
      <c r="P29" s="60"/>
      <c r="Q29" s="60"/>
      <c r="R29" s="61"/>
      <c r="S29" s="61"/>
      <c r="T29" s="57"/>
      <c r="U29" s="57"/>
      <c r="V29" s="57"/>
      <c r="W29" s="57"/>
      <c r="X29" s="57"/>
      <c r="Y29" s="57"/>
    </row>
    <row r="30" spans="1:25" s="28" customFormat="1" ht="12.75" customHeight="1" x14ac:dyDescent="0.2">
      <c r="A30" s="46"/>
      <c r="B30" s="77"/>
      <c r="C30" s="77"/>
      <c r="D30" s="77"/>
      <c r="E30" s="77"/>
      <c r="F30" s="77"/>
      <c r="G30" s="77"/>
      <c r="H30" s="77"/>
      <c r="I30" s="77"/>
      <c r="J30" s="77"/>
      <c r="K30" s="46"/>
      <c r="M30" s="60"/>
      <c r="N30" s="60"/>
      <c r="O30" s="60"/>
      <c r="P30" s="60"/>
      <c r="Q30" s="60"/>
      <c r="R30" s="61"/>
      <c r="S30" s="61"/>
      <c r="T30" s="57"/>
      <c r="U30" s="57"/>
      <c r="V30" s="57"/>
      <c r="W30" s="57"/>
      <c r="X30" s="57"/>
      <c r="Y30" s="57"/>
    </row>
    <row r="31" spans="1:25" s="28" customFormat="1" ht="12.75" customHeight="1" x14ac:dyDescent="0.2">
      <c r="A31" s="46"/>
      <c r="B31" s="77"/>
      <c r="C31" s="77"/>
      <c r="D31" s="77"/>
      <c r="E31" s="77"/>
      <c r="F31" s="77"/>
      <c r="G31" s="77"/>
      <c r="H31" s="77"/>
      <c r="I31" s="77"/>
      <c r="J31" s="77"/>
      <c r="K31" s="46"/>
      <c r="M31" s="60"/>
      <c r="N31" s="60"/>
      <c r="O31" s="60"/>
      <c r="P31" s="60"/>
      <c r="Q31" s="60"/>
      <c r="R31" s="61"/>
      <c r="S31" s="61"/>
      <c r="T31" s="57"/>
      <c r="U31" s="57"/>
      <c r="V31" s="57"/>
      <c r="W31" s="57"/>
      <c r="X31" s="57"/>
      <c r="Y31" s="57"/>
    </row>
    <row r="32" spans="1:25" s="28" customFormat="1" ht="12.75" customHeight="1" x14ac:dyDescent="0.2">
      <c r="A32" s="46"/>
      <c r="B32" s="77"/>
      <c r="C32" s="77"/>
      <c r="D32" s="77"/>
      <c r="E32" s="77"/>
      <c r="F32" s="77"/>
      <c r="G32" s="77"/>
      <c r="H32" s="77"/>
      <c r="I32" s="77"/>
      <c r="J32" s="77"/>
      <c r="K32" s="46"/>
      <c r="M32" s="60"/>
      <c r="N32" s="60"/>
      <c r="O32" s="60"/>
      <c r="P32" s="60"/>
      <c r="Q32" s="60"/>
      <c r="R32" s="61"/>
      <c r="S32" s="61"/>
      <c r="T32" s="57"/>
      <c r="U32" s="57"/>
      <c r="V32" s="57"/>
      <c r="W32" s="57"/>
      <c r="X32" s="57"/>
      <c r="Y32" s="57"/>
    </row>
    <row r="33" spans="1:25" s="28" customFormat="1" ht="12.75" customHeight="1" x14ac:dyDescent="0.2">
      <c r="A33" s="46"/>
      <c r="B33" s="77"/>
      <c r="C33" s="77"/>
      <c r="D33" s="77"/>
      <c r="E33" s="77"/>
      <c r="F33" s="77"/>
      <c r="G33" s="77"/>
      <c r="H33" s="77"/>
      <c r="I33" s="77"/>
      <c r="J33" s="77"/>
      <c r="K33" s="46"/>
      <c r="M33" s="60"/>
      <c r="N33" s="60"/>
      <c r="O33" s="60"/>
      <c r="P33" s="60"/>
      <c r="Q33" s="60"/>
      <c r="R33" s="61"/>
      <c r="S33" s="64"/>
      <c r="T33" s="57"/>
      <c r="U33" s="57"/>
      <c r="V33" s="57"/>
      <c r="W33" s="57"/>
      <c r="X33" s="57"/>
      <c r="Y33" s="57"/>
    </row>
    <row r="34" spans="1:25" s="28" customFormat="1" ht="12.75" x14ac:dyDescent="0.2">
      <c r="A34" s="46"/>
      <c r="B34" s="65"/>
      <c r="C34" s="65"/>
      <c r="D34" s="79" t="s">
        <v>33</v>
      </c>
      <c r="E34" s="79"/>
      <c r="F34" s="79"/>
      <c r="G34" s="79"/>
      <c r="H34" s="79"/>
      <c r="I34" s="65"/>
      <c r="J34" s="65"/>
      <c r="K34" s="46"/>
      <c r="M34" s="60"/>
      <c r="N34" s="60"/>
      <c r="O34" s="60"/>
      <c r="P34" s="60"/>
      <c r="Q34" s="60"/>
      <c r="R34" s="61"/>
      <c r="S34" s="64"/>
      <c r="T34" s="57"/>
      <c r="U34" s="57"/>
      <c r="V34" s="57"/>
      <c r="W34" s="57"/>
      <c r="X34" s="57"/>
      <c r="Y34" s="57"/>
    </row>
    <row r="35" spans="1:25" s="28" customFormat="1" ht="12.75" customHeight="1" x14ac:dyDescent="0.2">
      <c r="A35" s="46"/>
      <c r="B35" s="46"/>
      <c r="C35" s="46"/>
      <c r="I35" s="46"/>
      <c r="J35" s="46"/>
      <c r="K35" s="46"/>
      <c r="M35" s="60"/>
      <c r="N35" s="60"/>
      <c r="O35" s="60"/>
      <c r="P35" s="60"/>
      <c r="Q35" s="60"/>
      <c r="R35" s="61"/>
      <c r="S35" s="61"/>
      <c r="T35" s="57"/>
      <c r="U35" s="57"/>
      <c r="V35" s="57"/>
      <c r="W35" s="57"/>
      <c r="X35" s="57"/>
      <c r="Y35" s="57"/>
    </row>
    <row r="36" spans="1:25" s="28" customFormat="1" ht="12.75" customHeight="1" x14ac:dyDescent="0.2">
      <c r="A36" s="46"/>
      <c r="B36" s="47" t="s">
        <v>34</v>
      </c>
      <c r="C36" s="46"/>
      <c r="D36" s="46"/>
      <c r="E36" s="46"/>
      <c r="F36" s="66"/>
      <c r="G36" s="46"/>
      <c r="H36" s="46"/>
      <c r="I36" s="46"/>
      <c r="J36" s="46"/>
      <c r="K36" s="46"/>
      <c r="M36" s="60"/>
      <c r="N36" s="60"/>
      <c r="O36" s="60"/>
      <c r="P36" s="60"/>
      <c r="Q36" s="60"/>
      <c r="R36" s="61"/>
      <c r="S36" s="61"/>
      <c r="T36" s="57"/>
      <c r="U36" s="57"/>
      <c r="V36" s="57"/>
      <c r="W36" s="57"/>
      <c r="X36" s="57"/>
      <c r="Y36" s="57"/>
    </row>
    <row r="37" spans="1:25" s="28" customFormat="1" ht="12.75" x14ac:dyDescent="0.2">
      <c r="A37" s="46"/>
      <c r="B37" s="47"/>
      <c r="C37" s="46"/>
      <c r="D37" s="46"/>
      <c r="E37" s="46"/>
      <c r="F37" s="66"/>
      <c r="G37" s="46"/>
      <c r="H37" s="46"/>
      <c r="I37" s="46"/>
      <c r="J37" s="46"/>
      <c r="K37" s="46"/>
      <c r="M37" s="60"/>
      <c r="N37" s="60"/>
      <c r="O37" s="60"/>
      <c r="P37" s="60"/>
      <c r="Q37" s="60"/>
      <c r="R37" s="61"/>
      <c r="S37" s="61"/>
      <c r="T37" s="57"/>
      <c r="U37" s="57"/>
      <c r="V37" s="57"/>
      <c r="W37" s="57"/>
      <c r="X37" s="57"/>
      <c r="Y37" s="57"/>
    </row>
    <row r="38" spans="1:25" s="28" customFormat="1" ht="12.75" customHeight="1" x14ac:dyDescent="0.2">
      <c r="A38" s="46"/>
      <c r="B38" s="77" t="s">
        <v>44</v>
      </c>
      <c r="C38" s="77"/>
      <c r="D38" s="77"/>
      <c r="E38" s="77"/>
      <c r="F38" s="77"/>
      <c r="G38" s="77"/>
      <c r="H38" s="77"/>
      <c r="I38" s="77"/>
      <c r="J38" s="77"/>
      <c r="K38" s="46"/>
      <c r="M38" s="60"/>
      <c r="N38" s="60"/>
      <c r="O38" s="60"/>
      <c r="P38" s="60"/>
      <c r="Q38" s="60"/>
      <c r="R38" s="61"/>
      <c r="S38" s="61"/>
      <c r="T38" s="57"/>
      <c r="U38" s="57"/>
      <c r="V38" s="57"/>
      <c r="W38" s="57"/>
      <c r="X38" s="57"/>
      <c r="Y38" s="57"/>
    </row>
    <row r="39" spans="1:25" s="28" customFormat="1" ht="12.75" x14ac:dyDescent="0.2">
      <c r="A39" s="46"/>
      <c r="B39" s="77"/>
      <c r="C39" s="77"/>
      <c r="D39" s="77"/>
      <c r="E39" s="77"/>
      <c r="F39" s="77"/>
      <c r="G39" s="77"/>
      <c r="H39" s="77"/>
      <c r="I39" s="77"/>
      <c r="J39" s="77"/>
      <c r="K39" s="46"/>
      <c r="M39" s="60"/>
      <c r="N39" s="60"/>
      <c r="O39" s="60"/>
      <c r="P39" s="60"/>
      <c r="Q39" s="60"/>
      <c r="R39" s="61"/>
      <c r="S39" s="61"/>
      <c r="T39" s="57"/>
      <c r="U39" s="57"/>
      <c r="V39" s="57"/>
      <c r="W39" s="57"/>
      <c r="X39" s="57"/>
      <c r="Y39" s="57"/>
    </row>
    <row r="40" spans="1:25" s="28" customFormat="1" ht="12.75" x14ac:dyDescent="0.2">
      <c r="A40" s="46"/>
      <c r="B40" s="65"/>
      <c r="C40" s="65"/>
      <c r="D40" s="65"/>
      <c r="E40" s="65"/>
      <c r="F40" s="65"/>
      <c r="G40" s="65"/>
      <c r="H40" s="65"/>
      <c r="I40" s="65"/>
      <c r="J40" s="65"/>
      <c r="K40" s="46"/>
      <c r="M40" s="60"/>
      <c r="N40" s="60"/>
      <c r="O40" s="60"/>
      <c r="P40" s="60"/>
      <c r="Q40" s="60"/>
      <c r="R40" s="61"/>
      <c r="S40" s="61"/>
      <c r="T40" s="57"/>
      <c r="U40" s="57"/>
      <c r="V40" s="57"/>
      <c r="W40" s="57"/>
      <c r="X40" s="57"/>
      <c r="Y40" s="57"/>
    </row>
    <row r="41" spans="1:25" s="28" customFormat="1" ht="12.75" customHeight="1" x14ac:dyDescent="0.2">
      <c r="A41" s="46"/>
      <c r="B41" s="77" t="s">
        <v>45</v>
      </c>
      <c r="C41" s="77"/>
      <c r="D41" s="77"/>
      <c r="E41" s="77"/>
      <c r="F41" s="77"/>
      <c r="G41" s="77"/>
      <c r="H41" s="77"/>
      <c r="I41" s="77"/>
      <c r="J41" s="77"/>
      <c r="K41" s="46"/>
      <c r="M41" s="60"/>
      <c r="N41" s="60"/>
      <c r="O41" s="60"/>
      <c r="P41" s="60"/>
      <c r="Q41" s="60"/>
      <c r="R41" s="61"/>
      <c r="S41" s="61"/>
      <c r="T41" s="57"/>
      <c r="U41" s="57"/>
      <c r="V41" s="57"/>
      <c r="W41" s="57"/>
      <c r="X41" s="57"/>
      <c r="Y41" s="57"/>
    </row>
    <row r="42" spans="1:25" s="28" customFormat="1" ht="12.75" x14ac:dyDescent="0.2">
      <c r="A42" s="46"/>
      <c r="B42" s="77"/>
      <c r="C42" s="77"/>
      <c r="D42" s="77"/>
      <c r="E42" s="77"/>
      <c r="F42" s="77"/>
      <c r="G42" s="77"/>
      <c r="H42" s="77"/>
      <c r="I42" s="77"/>
      <c r="J42" s="77"/>
      <c r="K42" s="46"/>
      <c r="M42" s="60"/>
      <c r="N42" s="60"/>
      <c r="O42" s="60"/>
      <c r="P42" s="60"/>
      <c r="Q42" s="60"/>
      <c r="R42" s="61"/>
      <c r="S42" s="61"/>
      <c r="T42" s="57"/>
      <c r="U42" s="57"/>
      <c r="V42" s="57"/>
      <c r="W42" s="57"/>
      <c r="X42" s="57"/>
      <c r="Y42" s="57"/>
    </row>
    <row r="43" spans="1:25" s="28" customFormat="1" ht="12.75" x14ac:dyDescent="0.2">
      <c r="A43" s="46"/>
      <c r="B43" s="77"/>
      <c r="C43" s="77"/>
      <c r="D43" s="77"/>
      <c r="E43" s="77"/>
      <c r="F43" s="77"/>
      <c r="G43" s="77"/>
      <c r="H43" s="77"/>
      <c r="I43" s="77"/>
      <c r="J43" s="77"/>
      <c r="K43" s="46"/>
      <c r="M43" s="60"/>
      <c r="N43" s="60"/>
      <c r="O43" s="60"/>
      <c r="P43" s="60"/>
      <c r="Q43" s="60"/>
      <c r="R43" s="61"/>
      <c r="S43" s="61"/>
      <c r="T43" s="57"/>
      <c r="U43" s="57"/>
      <c r="V43" s="57"/>
      <c r="W43" s="57"/>
      <c r="X43" s="57"/>
      <c r="Y43" s="57"/>
    </row>
    <row r="44" spans="1:25" s="28" customFormat="1" ht="12.75" customHeight="1" x14ac:dyDescent="0.2">
      <c r="A44" s="46"/>
      <c r="B44" s="65"/>
      <c r="C44" s="65"/>
      <c r="D44" s="65"/>
      <c r="E44" s="65"/>
      <c r="F44" s="65"/>
      <c r="G44" s="65"/>
      <c r="H44" s="65"/>
      <c r="I44" s="65"/>
      <c r="J44" s="65"/>
      <c r="K44" s="46"/>
      <c r="M44" s="60"/>
      <c r="N44" s="60"/>
      <c r="O44" s="60"/>
      <c r="P44" s="60"/>
      <c r="Q44" s="60"/>
      <c r="R44" s="61"/>
      <c r="S44" s="61"/>
      <c r="T44" s="57"/>
      <c r="U44" s="57"/>
      <c r="V44" s="57"/>
      <c r="W44" s="57"/>
      <c r="X44" s="57"/>
      <c r="Y44" s="57"/>
    </row>
    <row r="45" spans="1:25" s="28" customFormat="1" ht="12.75" customHeight="1" x14ac:dyDescent="0.2">
      <c r="A45" s="46"/>
      <c r="B45" s="77" t="s">
        <v>36</v>
      </c>
      <c r="C45" s="77"/>
      <c r="D45" s="77"/>
      <c r="E45" s="77"/>
      <c r="F45" s="77"/>
      <c r="G45" s="77"/>
      <c r="H45" s="77"/>
      <c r="I45" s="77"/>
      <c r="J45" s="77"/>
      <c r="K45" s="46"/>
      <c r="M45" s="60"/>
      <c r="N45" s="60"/>
      <c r="O45" s="60"/>
      <c r="P45" s="60"/>
      <c r="Q45" s="60"/>
      <c r="R45" s="61"/>
      <c r="S45" s="61"/>
      <c r="T45" s="57"/>
      <c r="U45" s="57"/>
      <c r="V45" s="57"/>
      <c r="W45" s="57"/>
      <c r="X45" s="57"/>
      <c r="Y45" s="57"/>
    </row>
    <row r="46" spans="1:25" s="28" customFormat="1" ht="12.75" x14ac:dyDescent="0.2">
      <c r="A46" s="46"/>
      <c r="B46" s="77"/>
      <c r="C46" s="77"/>
      <c r="D46" s="77"/>
      <c r="E46" s="77"/>
      <c r="F46" s="77"/>
      <c r="G46" s="77"/>
      <c r="H46" s="77"/>
      <c r="I46" s="77"/>
      <c r="J46" s="77"/>
      <c r="K46" s="46"/>
      <c r="M46" s="60"/>
      <c r="N46" s="60"/>
      <c r="O46" s="60"/>
      <c r="P46" s="60"/>
      <c r="Q46" s="60"/>
      <c r="R46" s="61"/>
      <c r="S46" s="61"/>
      <c r="T46" s="57"/>
      <c r="U46" s="57"/>
      <c r="V46" s="57"/>
      <c r="W46" s="57"/>
      <c r="X46" s="57"/>
      <c r="Y46" s="57"/>
    </row>
    <row r="47" spans="1:25" s="28" customFormat="1" ht="12.75" x14ac:dyDescent="0.2">
      <c r="A47" s="46"/>
      <c r="B47" s="77"/>
      <c r="C47" s="77"/>
      <c r="D47" s="77"/>
      <c r="E47" s="77"/>
      <c r="F47" s="77"/>
      <c r="G47" s="77"/>
      <c r="H47" s="77"/>
      <c r="I47" s="77"/>
      <c r="J47" s="77"/>
      <c r="K47" s="46"/>
      <c r="M47" s="60"/>
      <c r="N47" s="60"/>
      <c r="O47" s="60"/>
      <c r="P47" s="60"/>
      <c r="Q47" s="60"/>
      <c r="R47" s="61"/>
      <c r="S47" s="61"/>
      <c r="T47" s="57"/>
      <c r="U47" s="57"/>
      <c r="V47" s="57"/>
      <c r="W47" s="57"/>
      <c r="X47" s="57"/>
      <c r="Y47" s="57"/>
    </row>
    <row r="48" spans="1:25" s="28" customFormat="1" ht="12.75" customHeight="1" x14ac:dyDescent="0.2">
      <c r="A48" s="46"/>
      <c r="B48" s="77"/>
      <c r="C48" s="77"/>
      <c r="D48" s="77"/>
      <c r="E48" s="77"/>
      <c r="F48" s="77"/>
      <c r="G48" s="77"/>
      <c r="H48" s="77"/>
      <c r="I48" s="77"/>
      <c r="J48" s="77"/>
      <c r="K48" s="46"/>
      <c r="M48" s="60"/>
      <c r="N48" s="60"/>
      <c r="O48" s="60"/>
      <c r="P48" s="60"/>
      <c r="Q48" s="60"/>
      <c r="R48" s="61"/>
      <c r="S48" s="61"/>
      <c r="T48" s="57"/>
      <c r="U48" s="57"/>
      <c r="V48" s="57"/>
      <c r="W48" s="57"/>
      <c r="X48" s="57"/>
      <c r="Y48" s="57"/>
    </row>
    <row r="49" spans="1:25" s="28" customFormat="1" ht="12.75" x14ac:dyDescent="0.2">
      <c r="A49" s="46"/>
      <c r="B49" s="46" t="s">
        <v>46</v>
      </c>
      <c r="C49" s="46"/>
      <c r="D49" s="46"/>
      <c r="E49" s="46"/>
      <c r="F49" s="46"/>
      <c r="G49" s="46"/>
      <c r="H49" s="46"/>
      <c r="I49" s="46"/>
      <c r="J49" s="46"/>
      <c r="K49" s="46"/>
      <c r="M49" s="60"/>
      <c r="N49" s="60"/>
      <c r="O49" s="60"/>
      <c r="P49" s="60"/>
      <c r="Q49" s="60"/>
      <c r="R49" s="61"/>
      <c r="S49" s="61"/>
      <c r="T49" s="57"/>
      <c r="U49" s="57"/>
      <c r="V49" s="57"/>
      <c r="W49" s="57"/>
      <c r="X49" s="57"/>
      <c r="Y49" s="57"/>
    </row>
    <row r="50" spans="1:25" s="28" customFormat="1" ht="12.75" x14ac:dyDescent="0.2">
      <c r="A50" s="46"/>
      <c r="B50" s="46"/>
      <c r="C50" s="46"/>
      <c r="D50" s="46"/>
      <c r="F50" s="66" t="s">
        <v>51</v>
      </c>
      <c r="G50" s="66"/>
      <c r="H50" s="46"/>
      <c r="I50" s="46"/>
      <c r="J50" s="46"/>
      <c r="K50" s="46"/>
      <c r="M50" s="60"/>
      <c r="N50" s="60"/>
      <c r="O50" s="60"/>
      <c r="P50" s="60"/>
      <c r="Q50" s="60"/>
      <c r="R50" s="61"/>
      <c r="S50" s="61"/>
      <c r="T50" s="57"/>
      <c r="U50" s="57"/>
      <c r="V50" s="57"/>
      <c r="W50" s="57"/>
      <c r="X50" s="57"/>
      <c r="Y50" s="57"/>
    </row>
    <row r="51" spans="1:25" s="28" customFormat="1" ht="12.75" x14ac:dyDescent="0.2">
      <c r="A51" s="46"/>
      <c r="B51" s="46"/>
      <c r="C51" s="46"/>
      <c r="D51" s="46"/>
      <c r="E51" s="46"/>
      <c r="F51" s="46"/>
      <c r="G51" s="46"/>
      <c r="H51" s="46"/>
      <c r="I51" s="46"/>
      <c r="J51" s="46"/>
      <c r="K51" s="46"/>
      <c r="M51" s="60"/>
      <c r="N51" s="60"/>
      <c r="O51" s="60"/>
      <c r="P51" s="60"/>
      <c r="Q51" s="60"/>
      <c r="R51" s="61"/>
      <c r="S51" s="61"/>
      <c r="T51" s="57"/>
      <c r="U51" s="57"/>
      <c r="V51" s="57"/>
      <c r="W51" s="57"/>
      <c r="X51" s="57"/>
      <c r="Y51" s="57"/>
    </row>
    <row r="52" spans="1:25" s="28" customFormat="1" ht="12.75" customHeight="1" x14ac:dyDescent="0.2">
      <c r="A52" s="46"/>
      <c r="B52" s="47" t="s">
        <v>47</v>
      </c>
      <c r="C52" s="46"/>
      <c r="D52" s="46"/>
      <c r="E52" s="46"/>
      <c r="F52" s="46"/>
      <c r="G52" s="46"/>
      <c r="H52" s="46"/>
      <c r="I52" s="46"/>
      <c r="J52" s="46"/>
      <c r="K52" s="46"/>
      <c r="M52" s="60"/>
      <c r="N52" s="60"/>
      <c r="O52" s="60"/>
      <c r="P52" s="60"/>
      <c r="Q52" s="60"/>
      <c r="R52" s="61"/>
      <c r="S52" s="61"/>
      <c r="T52" s="57"/>
      <c r="U52" s="57"/>
      <c r="V52" s="57"/>
      <c r="W52" s="57"/>
      <c r="X52" s="57"/>
      <c r="Y52" s="57"/>
    </row>
    <row r="53" spans="1:25" s="28" customFormat="1" ht="12.75" x14ac:dyDescent="0.2">
      <c r="A53" s="46"/>
      <c r="B53" s="46"/>
      <c r="C53" s="46"/>
      <c r="D53" s="46"/>
      <c r="E53" s="46"/>
      <c r="F53" s="46"/>
      <c r="G53" s="46"/>
      <c r="H53" s="46"/>
      <c r="I53" s="46"/>
      <c r="J53" s="46"/>
      <c r="K53" s="46"/>
      <c r="M53" s="60"/>
      <c r="N53" s="60"/>
      <c r="O53" s="60"/>
      <c r="P53" s="60"/>
      <c r="Q53" s="60"/>
      <c r="R53" s="61"/>
      <c r="S53" s="61"/>
      <c r="T53" s="57"/>
      <c r="U53" s="57"/>
      <c r="V53" s="57"/>
      <c r="W53" s="57"/>
      <c r="X53" s="57"/>
      <c r="Y53" s="57"/>
    </row>
    <row r="54" spans="1:25" s="28" customFormat="1" ht="12.75" customHeight="1" x14ac:dyDescent="0.2">
      <c r="A54" s="46"/>
      <c r="B54" s="78" t="s">
        <v>48</v>
      </c>
      <c r="C54" s="78"/>
      <c r="D54" s="78"/>
      <c r="E54" s="78"/>
      <c r="F54" s="78"/>
      <c r="G54" s="78"/>
      <c r="H54" s="78"/>
      <c r="I54" s="78"/>
      <c r="J54" s="78"/>
      <c r="K54" s="46"/>
      <c r="M54" s="60"/>
      <c r="N54" s="60"/>
      <c r="O54" s="60"/>
      <c r="P54" s="60"/>
      <c r="Q54" s="60"/>
      <c r="R54" s="61"/>
      <c r="S54" s="61"/>
      <c r="T54" s="57"/>
      <c r="U54" s="57"/>
      <c r="V54" s="57"/>
      <c r="W54" s="57"/>
      <c r="X54" s="57"/>
      <c r="Y54" s="57"/>
    </row>
    <row r="55" spans="1:25" s="28" customFormat="1" ht="12.75" x14ac:dyDescent="0.2">
      <c r="A55" s="46"/>
      <c r="B55" s="78"/>
      <c r="C55" s="78"/>
      <c r="D55" s="78"/>
      <c r="E55" s="78"/>
      <c r="F55" s="78"/>
      <c r="G55" s="78"/>
      <c r="H55" s="78"/>
      <c r="I55" s="78"/>
      <c r="J55" s="78"/>
      <c r="K55" s="46"/>
      <c r="M55" s="60"/>
      <c r="N55" s="60"/>
      <c r="O55" s="60"/>
      <c r="P55" s="60"/>
      <c r="Q55" s="60"/>
      <c r="R55" s="61"/>
      <c r="S55" s="61"/>
      <c r="T55" s="57"/>
      <c r="U55" s="57"/>
      <c r="V55" s="57"/>
      <c r="W55" s="57"/>
      <c r="X55" s="57"/>
      <c r="Y55" s="57"/>
    </row>
    <row r="56" spans="1:25" s="28" customFormat="1" ht="12.75" x14ac:dyDescent="0.2">
      <c r="A56" s="46"/>
      <c r="B56" s="78"/>
      <c r="C56" s="78"/>
      <c r="D56" s="78"/>
      <c r="E56" s="78"/>
      <c r="F56" s="78"/>
      <c r="G56" s="78"/>
      <c r="H56" s="78"/>
      <c r="I56" s="78"/>
      <c r="J56" s="78"/>
      <c r="K56" s="46"/>
      <c r="M56" s="60"/>
      <c r="N56" s="60"/>
      <c r="O56" s="60"/>
      <c r="P56" s="60"/>
      <c r="Q56" s="60"/>
      <c r="R56" s="61"/>
      <c r="S56" s="61"/>
      <c r="T56" s="57"/>
      <c r="U56" s="57"/>
      <c r="V56" s="57"/>
      <c r="W56" s="57"/>
      <c r="X56" s="57"/>
      <c r="Y56" s="57"/>
    </row>
    <row r="57" spans="1:25" s="28" customFormat="1" ht="12.75" x14ac:dyDescent="0.2">
      <c r="A57" s="46"/>
      <c r="B57" s="46"/>
      <c r="C57" s="46"/>
      <c r="D57" s="46"/>
      <c r="F57" s="66" t="s">
        <v>52</v>
      </c>
      <c r="G57" s="46"/>
      <c r="H57" s="46"/>
      <c r="I57" s="46"/>
      <c r="J57" s="46"/>
      <c r="K57" s="46"/>
      <c r="M57" s="60"/>
      <c r="N57" s="60"/>
      <c r="O57" s="60"/>
      <c r="P57" s="60"/>
      <c r="Q57" s="60"/>
      <c r="R57" s="61"/>
      <c r="S57" s="61"/>
      <c r="T57" s="57"/>
      <c r="U57" s="57"/>
      <c r="V57" s="57"/>
      <c r="W57" s="57"/>
      <c r="X57" s="57"/>
      <c r="Y57" s="57"/>
    </row>
    <row r="58" spans="1:25" s="28" customFormat="1" ht="12.75" x14ac:dyDescent="0.2">
      <c r="A58" s="46"/>
      <c r="B58" s="46"/>
      <c r="C58" s="46"/>
      <c r="D58" s="46"/>
      <c r="E58" s="46"/>
      <c r="F58" s="46"/>
      <c r="G58" s="46"/>
      <c r="H58" s="46"/>
      <c r="I58" s="46"/>
      <c r="J58" s="46"/>
      <c r="K58" s="46"/>
      <c r="M58" s="60"/>
      <c r="N58" s="60"/>
      <c r="O58" s="60"/>
      <c r="P58" s="60"/>
      <c r="Q58" s="60"/>
      <c r="R58" s="61"/>
      <c r="S58" s="61"/>
      <c r="T58" s="57"/>
      <c r="U58" s="57"/>
      <c r="V58" s="57"/>
      <c r="W58" s="57"/>
      <c r="X58" s="57"/>
      <c r="Y58" s="57"/>
    </row>
    <row r="59" spans="1:25" s="28" customFormat="1" ht="12.75" x14ac:dyDescent="0.2">
      <c r="A59" s="46"/>
      <c r="B59" s="46" t="s">
        <v>37</v>
      </c>
      <c r="C59" s="46"/>
      <c r="D59" s="46"/>
      <c r="E59" s="46"/>
      <c r="F59" s="46"/>
      <c r="G59" s="46"/>
      <c r="H59" s="46"/>
      <c r="I59" s="46"/>
      <c r="J59" s="46"/>
      <c r="K59" s="46"/>
      <c r="M59" s="60"/>
      <c r="N59" s="60"/>
      <c r="O59" s="60"/>
      <c r="P59" s="60"/>
      <c r="Q59" s="60"/>
      <c r="R59" s="61"/>
      <c r="S59" s="61"/>
      <c r="T59" s="57"/>
      <c r="U59" s="57"/>
      <c r="V59" s="57"/>
      <c r="W59" s="57"/>
      <c r="X59" s="57"/>
      <c r="Y59" s="57"/>
    </row>
    <row r="60" spans="1:25" s="28" customFormat="1" ht="12.75" x14ac:dyDescent="0.2">
      <c r="A60" s="46"/>
      <c r="C60" s="46"/>
      <c r="D60" s="46"/>
      <c r="F60" s="66" t="s">
        <v>49</v>
      </c>
      <c r="G60" s="54"/>
      <c r="H60" s="46"/>
      <c r="I60" s="46"/>
      <c r="J60" s="46"/>
      <c r="K60" s="46"/>
      <c r="M60" s="60"/>
      <c r="N60" s="60"/>
      <c r="O60" s="60"/>
      <c r="P60" s="60"/>
      <c r="Q60" s="60"/>
      <c r="R60" s="61"/>
      <c r="S60" s="61"/>
      <c r="T60" s="57"/>
      <c r="U60" s="57"/>
      <c r="V60" s="57"/>
      <c r="W60" s="57"/>
      <c r="X60" s="57"/>
      <c r="Y60" s="57"/>
    </row>
    <row r="61" spans="1:25" s="28" customFormat="1" ht="12.75" x14ac:dyDescent="0.2">
      <c r="A61" s="46"/>
      <c r="J61" s="46"/>
      <c r="K61" s="46"/>
      <c r="M61" s="60"/>
      <c r="N61" s="60"/>
      <c r="O61" s="60"/>
      <c r="P61" s="60"/>
      <c r="Q61" s="60"/>
      <c r="R61" s="61"/>
      <c r="S61" s="61"/>
      <c r="T61" s="57"/>
      <c r="U61" s="57"/>
      <c r="V61" s="57"/>
      <c r="W61" s="57"/>
      <c r="X61" s="57"/>
      <c r="Y61" s="57"/>
    </row>
    <row r="62" spans="1:25" s="28" customFormat="1" ht="12.75" x14ac:dyDescent="0.2">
      <c r="A62" s="46"/>
      <c r="B62" s="46"/>
      <c r="C62" s="46"/>
      <c r="D62" s="46"/>
      <c r="E62" s="46"/>
      <c r="F62" s="46"/>
      <c r="G62" s="46"/>
      <c r="H62" s="46"/>
      <c r="I62" s="46"/>
      <c r="J62" s="46"/>
      <c r="K62" s="46"/>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display="www.abbottaerospace.com/library/xl-viking"/>
    <hyperlink ref="F60" r:id="rId3"/>
    <hyperlink ref="F57" r:id="rId4" display="www.abbottaerospace.com/library/donate"/>
    <hyperlink ref="F25" r:id="rId5" display="www.abbottaerospace.com/library/subscribe"/>
  </hyperlinks>
  <pageMargins left="0.47244094488188981" right="0.23622047244094491" top="0.31496062992125984" bottom="0.82677165354330717" header="0.31496062992125984" footer="0.47244094488188981"/>
  <pageSetup scale="99"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2.75" x14ac:dyDescent="0.2"/>
  <sheetData>
    <row r="1" spans="1:256" x14ac:dyDescent="0.2">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11</v>
      </c>
      <c r="DX42" s="1" t="s">
        <v>12</v>
      </c>
      <c r="DY42" t="e">
        <f>IF("N",apparent_stress,"AAAAAH98rYA=")</f>
        <v>#VALUE!</v>
      </c>
      <c r="DZ42" t="e">
        <f>IF("N",'Main - US'!_xlnm.Print_Area,"AAAAAH98rYE=")</f>
        <v>#VALUE!</v>
      </c>
      <c r="EA42" t="e">
        <f>IF("N",'Main - US'!_xlnm.Print_Area,"AAAAAH98rYI=")</f>
        <v>#VALUE!</v>
      </c>
      <c r="EB42" t="e">
        <f>IF("N",sencount,"AAAAAH98rYM=")</f>
        <v>#VALUE!</v>
      </c>
    </row>
    <row r="43" spans="1:256" x14ac:dyDescent="0.2">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118"/>
  <sheetViews>
    <sheetView tabSelected="1" view="pageBreakPreview" zoomScaleNormal="100" zoomScaleSheetLayoutView="100" workbookViewId="0">
      <selection activeCell="G3" sqref="G3"/>
    </sheetView>
  </sheetViews>
  <sheetFormatPr defaultRowHeight="12.75" x14ac:dyDescent="0.2"/>
  <cols>
    <col min="1" max="11" width="9" style="5" customWidth="1"/>
    <col min="12" max="12" width="4" style="14" customWidth="1"/>
    <col min="13" max="13" width="6" style="7" bestFit="1" customWidth="1"/>
    <col min="14" max="14" width="4.42578125" style="15" bestFit="1" customWidth="1"/>
    <col min="15" max="17" width="4.42578125" style="7" bestFit="1" customWidth="1"/>
    <col min="18" max="18" width="3.5703125" style="8" bestFit="1" customWidth="1"/>
    <col min="19" max="19" width="5.42578125" style="8" bestFit="1" customWidth="1"/>
    <col min="20" max="20" width="6.5703125" style="3" bestFit="1" customWidth="1"/>
    <col min="21" max="24" width="6.7109375" style="3" bestFit="1" customWidth="1"/>
    <col min="25" max="25" width="6.5703125" style="3" bestFit="1" customWidth="1"/>
    <col min="26" max="26" width="7" style="3" bestFit="1" customWidth="1"/>
    <col min="27" max="27" width="6.7109375" style="3" bestFit="1" customWidth="1"/>
    <col min="28" max="28" width="6.5703125" style="3" bestFit="1" customWidth="1"/>
    <col min="29" max="30" width="6.7109375" style="3" bestFit="1" customWidth="1"/>
    <col min="31" max="32" width="9.140625" style="4"/>
    <col min="33" max="41" width="9.28515625" style="4" bestFit="1" customWidth="1"/>
    <col min="42" max="42" width="9.140625" style="4"/>
    <col min="43" max="44" width="9.28515625" style="4" bestFit="1" customWidth="1"/>
    <col min="45" max="171" width="9.140625" style="4"/>
    <col min="172" max="16384" width="9.140625" style="5"/>
  </cols>
  <sheetData>
    <row r="1" spans="1:185" s="28" customFormat="1" x14ac:dyDescent="0.2">
      <c r="A1" s="24"/>
      <c r="B1" s="25" t="s">
        <v>3</v>
      </c>
      <c r="C1" s="26" t="s">
        <v>2</v>
      </c>
      <c r="D1" s="24"/>
      <c r="E1" s="24"/>
      <c r="F1" s="25" t="s">
        <v>19</v>
      </c>
      <c r="G1" s="27">
        <f>X1</f>
        <v>2</v>
      </c>
      <c r="H1" s="24"/>
      <c r="I1" s="24"/>
      <c r="J1" s="24"/>
      <c r="K1" s="24"/>
      <c r="M1" s="29" t="s">
        <v>13</v>
      </c>
      <c r="N1" s="29" t="s">
        <v>14</v>
      </c>
      <c r="O1" s="29" t="s">
        <v>15</v>
      </c>
      <c r="P1" s="29" t="s">
        <v>15</v>
      </c>
      <c r="Q1" s="29" t="s">
        <v>15</v>
      </c>
      <c r="R1" s="29" t="s">
        <v>16</v>
      </c>
      <c r="S1" s="49" t="s">
        <v>17</v>
      </c>
      <c r="T1" s="50" t="s">
        <v>20</v>
      </c>
      <c r="W1" s="30" t="s">
        <v>21</v>
      </c>
      <c r="X1" s="31">
        <f>SUM(M:M)</f>
        <v>2</v>
      </c>
    </row>
    <row r="2" spans="1:185" s="28" customFormat="1" x14ac:dyDescent="0.2">
      <c r="A2" s="24"/>
      <c r="B2" s="25" t="s">
        <v>4</v>
      </c>
      <c r="C2" s="26" t="s">
        <v>5</v>
      </c>
      <c r="D2" s="24"/>
      <c r="E2" s="24"/>
      <c r="F2" s="25" t="s">
        <v>6</v>
      </c>
      <c r="G2" s="26" t="s">
        <v>88</v>
      </c>
      <c r="H2" s="24"/>
      <c r="I2" s="24"/>
      <c r="J2" s="24"/>
      <c r="K2" s="24"/>
      <c r="M2" s="32" t="s">
        <v>18</v>
      </c>
      <c r="N2" s="32" t="s">
        <v>18</v>
      </c>
      <c r="O2" s="32" t="s">
        <v>14</v>
      </c>
      <c r="P2" s="32" t="s">
        <v>14</v>
      </c>
      <c r="Q2" s="32" t="s">
        <v>14</v>
      </c>
      <c r="R2" s="32" t="s">
        <v>18</v>
      </c>
      <c r="S2" s="51" t="s">
        <v>18</v>
      </c>
      <c r="T2" s="52"/>
      <c r="W2" s="30" t="s">
        <v>22</v>
      </c>
      <c r="X2" s="31">
        <f>SUM(N:N)</f>
        <v>0</v>
      </c>
    </row>
    <row r="3" spans="1:185" s="28" customFormat="1" x14ac:dyDescent="0.2">
      <c r="A3" s="24"/>
      <c r="B3" s="25" t="s">
        <v>1</v>
      </c>
      <c r="C3" s="33" t="s">
        <v>23</v>
      </c>
      <c r="D3" s="24"/>
      <c r="E3" s="24"/>
      <c r="F3" s="25" t="s">
        <v>0</v>
      </c>
      <c r="G3" s="26" t="s">
        <v>38</v>
      </c>
      <c r="H3" s="24"/>
      <c r="I3" s="24"/>
      <c r="J3" s="24"/>
      <c r="K3" s="24"/>
      <c r="M3" s="32"/>
      <c r="N3" s="32"/>
      <c r="O3" s="32"/>
      <c r="P3" s="32"/>
      <c r="Q3" s="32"/>
      <c r="R3" s="32"/>
      <c r="S3" s="51"/>
      <c r="T3" s="52"/>
      <c r="W3" s="30" t="s">
        <v>24</v>
      </c>
      <c r="X3" s="31">
        <f>SUM(O:O)</f>
        <v>0</v>
      </c>
    </row>
    <row r="4" spans="1:185" s="28" customFormat="1" x14ac:dyDescent="0.2">
      <c r="A4" s="24"/>
      <c r="B4" s="25" t="s">
        <v>25</v>
      </c>
      <c r="C4" s="27"/>
      <c r="D4" s="24"/>
      <c r="E4" s="24"/>
      <c r="F4" s="25" t="s">
        <v>26</v>
      </c>
      <c r="G4" s="26" t="s">
        <v>81</v>
      </c>
      <c r="H4" s="24"/>
      <c r="I4" s="24"/>
      <c r="J4" s="24"/>
      <c r="K4" s="24"/>
      <c r="M4" s="32"/>
      <c r="N4" s="32"/>
      <c r="O4" s="32"/>
      <c r="P4" s="32"/>
      <c r="Q4" s="34"/>
      <c r="R4" s="35"/>
      <c r="S4" s="53"/>
      <c r="T4" s="52"/>
      <c r="W4" s="30" t="s">
        <v>24</v>
      </c>
      <c r="X4" s="31">
        <f>SUM(P:P)</f>
        <v>0</v>
      </c>
    </row>
    <row r="5" spans="1:185" s="28" customFormat="1" x14ac:dyDescent="0.2">
      <c r="A5" s="24"/>
      <c r="B5" s="25" t="s">
        <v>28</v>
      </c>
      <c r="C5" s="27" t="s">
        <v>35</v>
      </c>
      <c r="D5" s="24"/>
      <c r="E5" s="25"/>
      <c r="F5" s="24"/>
      <c r="G5" s="24"/>
      <c r="H5" s="24"/>
      <c r="I5" s="24"/>
      <c r="J5" s="24"/>
      <c r="K5" s="24"/>
      <c r="M5" s="32"/>
      <c r="N5" s="32"/>
      <c r="O5" s="32"/>
      <c r="P5" s="32"/>
      <c r="Q5" s="34"/>
      <c r="R5" s="35"/>
      <c r="S5" s="53"/>
      <c r="T5" s="52"/>
      <c r="W5" s="30" t="s">
        <v>24</v>
      </c>
      <c r="X5" s="31">
        <f>SUM(Q:Q)</f>
        <v>0</v>
      </c>
    </row>
    <row r="6" spans="1:185" s="28" customFormat="1" x14ac:dyDescent="0.2">
      <c r="A6" s="24"/>
      <c r="B6" s="24" t="s">
        <v>7</v>
      </c>
      <c r="C6" s="36"/>
      <c r="D6" s="24"/>
      <c r="E6" s="24"/>
      <c r="F6" s="24"/>
      <c r="G6" s="24"/>
      <c r="H6" s="24"/>
      <c r="I6" s="24"/>
      <c r="J6" s="24"/>
      <c r="K6" s="24"/>
      <c r="M6" s="32"/>
      <c r="N6" s="32"/>
      <c r="O6" s="32"/>
      <c r="P6" s="32"/>
      <c r="Q6" s="34"/>
      <c r="R6" s="35"/>
      <c r="S6" s="53"/>
      <c r="T6" s="52"/>
      <c r="W6" s="30" t="s">
        <v>29</v>
      </c>
      <c r="X6" s="31">
        <f>SUM(R:R)</f>
        <v>0</v>
      </c>
    </row>
    <row r="7" spans="1:185" s="28" customFormat="1" x14ac:dyDescent="0.2">
      <c r="A7" s="24"/>
      <c r="B7" s="24"/>
      <c r="C7" s="24"/>
      <c r="D7" s="24"/>
      <c r="E7" s="24"/>
      <c r="F7" s="24"/>
      <c r="G7" s="24"/>
      <c r="H7" s="24"/>
      <c r="I7" s="24"/>
      <c r="J7" s="24"/>
      <c r="K7" s="24"/>
      <c r="M7" s="32"/>
      <c r="N7" s="32"/>
      <c r="O7" s="32"/>
      <c r="P7" s="32"/>
      <c r="Q7" s="34"/>
      <c r="R7" s="35"/>
      <c r="S7" s="53"/>
      <c r="T7" s="52"/>
      <c r="W7" s="30" t="s">
        <v>30</v>
      </c>
      <c r="X7" s="31">
        <f>SUM(S:S)</f>
        <v>0</v>
      </c>
    </row>
    <row r="8" spans="1:185" x14ac:dyDescent="0.2">
      <c r="A8" s="37"/>
      <c r="B8" s="28"/>
      <c r="C8" s="28"/>
      <c r="D8" s="28"/>
      <c r="E8" s="30" t="s">
        <v>3</v>
      </c>
      <c r="F8" s="31" t="str">
        <f>$C$1</f>
        <v>R. Abbott</v>
      </c>
      <c r="G8" s="28"/>
      <c r="H8" s="38"/>
      <c r="I8" s="30" t="s">
        <v>8</v>
      </c>
      <c r="J8" s="39" t="str">
        <f>$G$2</f>
        <v>AA-SM-270-001</v>
      </c>
      <c r="K8" s="40"/>
      <c r="L8" s="41"/>
      <c r="M8" s="32"/>
      <c r="N8" s="32"/>
      <c r="O8" s="32"/>
      <c r="P8" s="6"/>
      <c r="S8" s="48"/>
      <c r="T8" s="8"/>
      <c r="AD8" s="9"/>
    </row>
    <row r="9" spans="1:185" s="11" customFormat="1" x14ac:dyDescent="0.2">
      <c r="A9" s="28"/>
      <c r="B9" s="28"/>
      <c r="C9" s="28"/>
      <c r="D9" s="28"/>
      <c r="E9" s="30" t="s">
        <v>4</v>
      </c>
      <c r="F9" s="38" t="str">
        <f>$C$2</f>
        <v xml:space="preserve"> </v>
      </c>
      <c r="G9" s="28"/>
      <c r="H9" s="38"/>
      <c r="I9" s="30" t="s">
        <v>9</v>
      </c>
      <c r="J9" s="40" t="str">
        <f>$G$3</f>
        <v>A</v>
      </c>
      <c r="K9" s="40"/>
      <c r="L9" s="41"/>
      <c r="M9" s="32">
        <v>1</v>
      </c>
      <c r="N9" s="32"/>
      <c r="O9" s="32"/>
      <c r="P9" s="6"/>
      <c r="Q9" s="10"/>
      <c r="R9" s="8"/>
      <c r="S9" s="48"/>
      <c r="T9" s="8"/>
      <c r="U9" s="3"/>
      <c r="V9" s="3"/>
      <c r="W9" s="3"/>
      <c r="X9" s="3"/>
      <c r="Y9" s="3"/>
      <c r="Z9" s="3"/>
      <c r="AA9" s="3"/>
      <c r="AB9" s="3"/>
      <c r="AC9" s="3"/>
      <c r="AD9" s="3"/>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row>
    <row r="10" spans="1:185" x14ac:dyDescent="0.2">
      <c r="A10" s="28"/>
      <c r="B10" s="28"/>
      <c r="C10" s="28"/>
      <c r="D10" s="28"/>
      <c r="E10" s="30" t="s">
        <v>1</v>
      </c>
      <c r="F10" s="38" t="str">
        <f>$C$3</f>
        <v>20/10/2013</v>
      </c>
      <c r="G10" s="28"/>
      <c r="H10" s="38"/>
      <c r="I10" s="30" t="s">
        <v>10</v>
      </c>
      <c r="J10" s="31" t="str">
        <f>L10&amp;" of "&amp;$G$1</f>
        <v>1 of 2</v>
      </c>
      <c r="K10" s="38"/>
      <c r="L10" s="41">
        <f>SUM($M$1:M9)</f>
        <v>1</v>
      </c>
      <c r="M10" s="32"/>
      <c r="N10" s="32"/>
      <c r="O10" s="32"/>
      <c r="P10" s="6"/>
      <c r="S10" s="48"/>
      <c r="T10" s="8"/>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row>
    <row r="11" spans="1:185" x14ac:dyDescent="0.2">
      <c r="A11" s="2"/>
      <c r="B11" s="2"/>
      <c r="C11" s="2"/>
      <c r="D11" s="2"/>
      <c r="E11" s="30" t="s">
        <v>31</v>
      </c>
      <c r="F11" s="38" t="str">
        <f>$C$5</f>
        <v>STANDARD SPREADSHEET METHOD</v>
      </c>
      <c r="G11" s="28"/>
      <c r="H11" s="28"/>
      <c r="I11" s="42"/>
      <c r="J11" s="31"/>
      <c r="K11" s="28"/>
      <c r="L11" s="28"/>
      <c r="M11" s="32"/>
      <c r="N11" s="32"/>
      <c r="O11" s="32"/>
      <c r="P11" s="6"/>
      <c r="S11" s="48"/>
      <c r="T11" s="8"/>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row>
    <row r="12" spans="1:185" ht="15.75" x14ac:dyDescent="0.25">
      <c r="A12" s="13"/>
      <c r="B12" s="44" t="str">
        <f>$G$4</f>
        <v>NACA 4 DIGIT AIRFOIL GENERATOR</v>
      </c>
      <c r="C12" s="13"/>
      <c r="D12" s="13"/>
      <c r="E12" s="13"/>
      <c r="F12" s="13"/>
      <c r="G12" s="13"/>
      <c r="H12" s="13"/>
      <c r="I12" s="13"/>
      <c r="J12" s="13"/>
      <c r="K12" s="13"/>
      <c r="S12" s="48"/>
      <c r="T12" s="8"/>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row>
    <row r="13" spans="1:185" x14ac:dyDescent="0.2">
      <c r="A13" s="28"/>
      <c r="B13" s="88" t="s">
        <v>56</v>
      </c>
      <c r="C13" s="88"/>
      <c r="D13" s="88"/>
      <c r="E13" s="24"/>
      <c r="S13" s="48"/>
      <c r="T13" s="8"/>
    </row>
    <row r="14" spans="1:185" x14ac:dyDescent="0.2">
      <c r="A14" s="12"/>
      <c r="B14" s="12"/>
      <c r="C14" s="12"/>
      <c r="D14" s="16"/>
      <c r="E14" s="12"/>
      <c r="F14" s="12"/>
      <c r="G14" s="12"/>
      <c r="H14" s="12"/>
      <c r="I14" s="12"/>
      <c r="J14" s="12"/>
      <c r="K14" s="12"/>
    </row>
    <row r="15" spans="1:185" s="28" customFormat="1" ht="15.75" x14ac:dyDescent="0.25">
      <c r="B15" s="30" t="s">
        <v>70</v>
      </c>
      <c r="C15" s="83" t="s">
        <v>71</v>
      </c>
      <c r="M15" s="32"/>
      <c r="N15" s="32"/>
      <c r="O15" s="32"/>
      <c r="P15" s="32"/>
      <c r="Q15" s="32"/>
      <c r="R15" s="32"/>
      <c r="S15" s="32"/>
      <c r="U15" s="43"/>
      <c r="V15" s="89" t="s">
        <v>57</v>
      </c>
      <c r="W15" s="90">
        <v>1</v>
      </c>
      <c r="X15" s="11" t="s">
        <v>58</v>
      </c>
      <c r="Y15" s="43"/>
      <c r="Z15" s="28">
        <f>C30*W15</f>
        <v>0.4</v>
      </c>
      <c r="AA15" s="43"/>
      <c r="AB15" s="43"/>
      <c r="AC15" s="43"/>
    </row>
    <row r="16" spans="1:185" s="28" customFormat="1" x14ac:dyDescent="0.2">
      <c r="C16" s="84"/>
      <c r="M16" s="32"/>
      <c r="N16" s="32"/>
      <c r="O16" s="32"/>
      <c r="P16" s="32"/>
      <c r="Q16" s="32"/>
      <c r="R16" s="32"/>
      <c r="S16" s="32"/>
      <c r="V16" s="28" t="s">
        <v>59</v>
      </c>
      <c r="W16" s="41" t="s">
        <v>60</v>
      </c>
      <c r="X16" s="41" t="s">
        <v>61</v>
      </c>
      <c r="Z16" s="80" t="s">
        <v>62</v>
      </c>
      <c r="AA16" s="80" t="s">
        <v>63</v>
      </c>
      <c r="AC16" s="28" t="s">
        <v>64</v>
      </c>
      <c r="AG16" s="28" t="s">
        <v>65</v>
      </c>
      <c r="AH16" s="28" t="s">
        <v>66</v>
      </c>
      <c r="AI16" s="28" t="s">
        <v>67</v>
      </c>
      <c r="AJ16" s="28" t="s">
        <v>68</v>
      </c>
      <c r="AK16" s="28" t="s">
        <v>69</v>
      </c>
    </row>
    <row r="17" spans="1:44" s="28" customFormat="1" x14ac:dyDescent="0.2">
      <c r="B17" s="28" t="s">
        <v>82</v>
      </c>
      <c r="M17" s="34"/>
      <c r="N17" s="34"/>
      <c r="O17" s="34"/>
      <c r="P17" s="34"/>
      <c r="Q17" s="34"/>
      <c r="R17" s="35"/>
      <c r="S17" s="35"/>
      <c r="V17" s="41">
        <v>0</v>
      </c>
      <c r="W17" s="41">
        <f>V17*$W$15</f>
        <v>0</v>
      </c>
      <c r="X17" s="81">
        <f>($C$28/0.2)*$W$15*(0.2969*SQRT(W17/$W$15)-0.126*(W17/$W$15)-0.3516*(W17/$W$15)^2+0.2843*(W17/$W$15)^3-0.1015*(W17/$W$15)^4)</f>
        <v>0</v>
      </c>
      <c r="Y17" s="82"/>
      <c r="Z17" s="91">
        <f>2*(W17/$W$15)/$C$30-((W17/$W$15)/$C$30)^2</f>
        <v>0</v>
      </c>
      <c r="AA17" s="91">
        <f>(1-2*$C$30+2*$C$30*W17/$W$15-(W17/$W$15)^2)/(1-$C$30)^2</f>
        <v>0.55555555555555547</v>
      </c>
      <c r="AB17" s="82"/>
      <c r="AC17" s="81">
        <f>IF(W17&lt;$Z$15,Z17,AA17)*$C$29</f>
        <v>0</v>
      </c>
      <c r="AD17" s="82">
        <f>AC17/$W$15</f>
        <v>0</v>
      </c>
      <c r="AE17" s="82"/>
      <c r="AG17" s="28">
        <v>0</v>
      </c>
      <c r="AH17" s="28">
        <v>0</v>
      </c>
      <c r="AI17" s="28">
        <v>0</v>
      </c>
      <c r="AJ17" s="28">
        <v>0</v>
      </c>
      <c r="AK17" s="28">
        <v>0</v>
      </c>
      <c r="AL17" s="28">
        <f>AH17/$W$15</f>
        <v>0</v>
      </c>
      <c r="AM17" s="28">
        <f>AI17/$W$15</f>
        <v>0</v>
      </c>
      <c r="AN17" s="28">
        <f>AJ17/$W$15</f>
        <v>0</v>
      </c>
      <c r="AO17" s="28">
        <f>AK17/$W$15</f>
        <v>0</v>
      </c>
      <c r="AQ17" s="28">
        <f>AL17</f>
        <v>0</v>
      </c>
      <c r="AR17" s="28">
        <f>AM17</f>
        <v>0</v>
      </c>
    </row>
    <row r="18" spans="1:44" s="28" customFormat="1" x14ac:dyDescent="0.2">
      <c r="B18" s="5"/>
      <c r="M18" s="34"/>
      <c r="N18" s="34"/>
      <c r="O18" s="34"/>
      <c r="P18" s="34"/>
      <c r="Q18" s="34"/>
      <c r="R18" s="35"/>
      <c r="S18" s="35"/>
      <c r="V18" s="41">
        <v>5.0000000000000001E-3</v>
      </c>
      <c r="W18" s="41">
        <f>V18*$W$15</f>
        <v>5.0000000000000001E-3</v>
      </c>
      <c r="X18" s="81">
        <f>($C$28/0.2)*$W$15*(0.2969*SQRT(W18/$W$15)-0.126*(W18/$W$15)-0.3516*(W18/$W$15)^2+0.2843*(W18/$W$15)^3-0.1015*(W18/$W$15)^4)</f>
        <v>1.2213147484494657E-2</v>
      </c>
      <c r="Y18" s="92"/>
      <c r="Z18" s="91">
        <f>2*(W18/$W$15)/$C$30-((W18/$W$15)/$C$30)^2</f>
        <v>2.4843749999999998E-2</v>
      </c>
      <c r="AA18" s="91">
        <f>(1-2*$C$30+2*$C$30*W18/$W$15-(W18/$W$15)^2)/(1-$C$30)^2</f>
        <v>0.56659722222222209</v>
      </c>
      <c r="AB18" s="82"/>
      <c r="AC18" s="81">
        <f>IF(W18&lt;$Z$15,Z18,AA18)*$C$29</f>
        <v>4.9687499999999992E-4</v>
      </c>
      <c r="AD18" s="82">
        <f>AC18/$W$15</f>
        <v>4.9687499999999992E-4</v>
      </c>
      <c r="AE18" s="82"/>
      <c r="AG18" s="28">
        <f>ATAN((AC18-AC17)/W18-W17)</f>
        <v>9.9049802393791186E-2</v>
      </c>
      <c r="AH18" s="28">
        <f>W18-X18*SIN(AG18)</f>
        <v>3.7922672346269639E-3</v>
      </c>
      <c r="AI18" s="28">
        <f>AC18+X18*COS(AG18)</f>
        <v>1.2650160689288415E-2</v>
      </c>
      <c r="AJ18" s="28">
        <f>W18+X18*SIN(AG18)</f>
        <v>6.2077327653730363E-3</v>
      </c>
      <c r="AK18" s="28">
        <f>AC18-X18*COS(AG18)</f>
        <v>-1.1656410689288414E-2</v>
      </c>
      <c r="AL18" s="28">
        <f>AH18/$W$15</f>
        <v>3.7922672346269639E-3</v>
      </c>
      <c r="AM18" s="28">
        <f>AI18/$W$15</f>
        <v>1.2650160689288415E-2</v>
      </c>
      <c r="AN18" s="28">
        <f>AJ18/$W$15</f>
        <v>6.2077327653730363E-3</v>
      </c>
      <c r="AO18" s="28">
        <f>AK18/$W$15</f>
        <v>-1.1656410689288414E-2</v>
      </c>
      <c r="AQ18" s="28">
        <f>AL19</f>
        <v>9.250031608406489E-3</v>
      </c>
      <c r="AR18" s="28">
        <f>AM19</f>
        <v>1.800805924183857E-2</v>
      </c>
    </row>
    <row r="19" spans="1:44" s="28" customFormat="1" x14ac:dyDescent="0.2">
      <c r="M19" s="34"/>
      <c r="N19" s="34"/>
      <c r="O19" s="34"/>
      <c r="P19" s="34"/>
      <c r="Q19" s="34"/>
      <c r="R19" s="35"/>
      <c r="S19" s="35"/>
      <c r="V19" s="41">
        <v>0.01</v>
      </c>
      <c r="W19" s="41">
        <f>V19*$W$15</f>
        <v>0.01</v>
      </c>
      <c r="X19" s="81">
        <f>($C$28/0.2)*$W$15*(0.2969*SQRT(W19/$W$15)-0.126*(W19/$W$15)-0.3516*(W19/$W$15)^2+0.2843*(W19/$W$15)^3-0.1015*(W19/$W$15)^4)</f>
        <v>1.7037073970999999E-2</v>
      </c>
      <c r="Y19" s="92"/>
      <c r="Z19" s="91">
        <f>2*(W19/$W$15)/$C$30-((W19/$W$15)/$C$30)^2</f>
        <v>4.9374999999999995E-2</v>
      </c>
      <c r="AA19" s="91">
        <f>(1-2*$C$30+2*$C$30*W19/$W$15-(W19/$W$15)^2)/(1-$C$30)^2</f>
        <v>0.5774999999999999</v>
      </c>
      <c r="AB19" s="82"/>
      <c r="AC19" s="81">
        <f>IF(W19&lt;$Z$15,Z19,AA19)*$C$29</f>
        <v>9.8749999999999988E-4</v>
      </c>
      <c r="AD19" s="82">
        <f>AC19/$W$15</f>
        <v>9.8749999999999988E-4</v>
      </c>
      <c r="AE19" s="82"/>
      <c r="AG19" s="28">
        <f>ATAN((AC19-AC18)/W19-W18)</f>
        <v>4.4034017333547074E-2</v>
      </c>
      <c r="AH19" s="28">
        <f>W19-X19*SIN(AG19)</f>
        <v>9.250031608406489E-3</v>
      </c>
      <c r="AI19" s="28">
        <f>AC19+X19*COS(AG19)</f>
        <v>1.800805924183857E-2</v>
      </c>
      <c r="AJ19" s="28">
        <f>W19+X19*SIN(AG19)</f>
        <v>1.0749968391593511E-2</v>
      </c>
      <c r="AK19" s="28">
        <f>AC19-X19*COS(AG19)</f>
        <v>-1.6033059241838572E-2</v>
      </c>
      <c r="AL19" s="28">
        <f>AH19/$W$15</f>
        <v>9.250031608406489E-3</v>
      </c>
      <c r="AM19" s="28">
        <f>AI19/$W$15</f>
        <v>1.800805924183857E-2</v>
      </c>
      <c r="AN19" s="28">
        <f>AJ19/$W$15</f>
        <v>1.0749968391593511E-2</v>
      </c>
      <c r="AO19" s="28">
        <f>AK19/$W$15</f>
        <v>-1.6033059241838572E-2</v>
      </c>
      <c r="AQ19" s="28">
        <f>AL21</f>
        <v>1.9789840684282616E-2</v>
      </c>
      <c r="AR19" s="28">
        <f>AM21</f>
        <v>2.5546835448969296E-2</v>
      </c>
    </row>
    <row r="20" spans="1:44" s="28" customFormat="1" x14ac:dyDescent="0.2">
      <c r="B20" s="85"/>
      <c r="C20" s="85"/>
      <c r="D20" s="85"/>
      <c r="E20" s="85"/>
      <c r="F20" s="85"/>
      <c r="G20" s="85"/>
      <c r="H20" s="85"/>
      <c r="I20" s="85"/>
      <c r="J20" s="85"/>
      <c r="M20" s="34"/>
      <c r="N20" s="34"/>
      <c r="O20" s="34"/>
      <c r="P20" s="34"/>
      <c r="Q20" s="34"/>
      <c r="R20" s="35"/>
      <c r="S20" s="35"/>
      <c r="V20" s="41">
        <v>1.4999999999999999E-2</v>
      </c>
      <c r="W20" s="41">
        <f>V20*$W$15</f>
        <v>1.4999999999999999E-2</v>
      </c>
      <c r="X20" s="81">
        <f>($C$28/0.2)*$W$15*(0.2969*SQRT(W20/$W$15)-0.126*(W20/$W$15)-0.3516*(W20/$W$15)^2+0.2843*(W20/$W$15)^3-0.1015*(W20/$W$15)^4)</f>
        <v>2.0636711763407267E-2</v>
      </c>
      <c r="Y20" s="92"/>
      <c r="Z20" s="91">
        <f>2*(W20/$W$15)/$C$30-((W20/$W$15)/$C$30)^2</f>
        <v>7.3593749999999999E-2</v>
      </c>
      <c r="AA20" s="91">
        <f>(1-2*$C$30+2*$C$30*W20/$W$15-(W20/$W$15)^2)/(1-$C$30)^2</f>
        <v>0.58826388888888881</v>
      </c>
      <c r="AB20" s="82"/>
      <c r="AC20" s="81">
        <f>IF(W20&lt;$Z$15,Z20,AA20)*$C$29</f>
        <v>1.4718750000000001E-3</v>
      </c>
      <c r="AD20" s="82">
        <f>AC20/$W$15</f>
        <v>1.4718750000000001E-3</v>
      </c>
      <c r="AE20" s="82"/>
      <c r="AG20" s="28">
        <f>ATAN((AC20-AC19)/W20-W19)</f>
        <v>2.2287975387364548E-2</v>
      </c>
      <c r="AH20" s="28">
        <f>W20-X20*SIN(AG20)</f>
        <v>1.4540087555560573E-2</v>
      </c>
      <c r="AI20" s="28">
        <f>AC20+X20*COS(AG20)</f>
        <v>2.2103461292609729E-2</v>
      </c>
      <c r="AJ20" s="28">
        <f>W20+X20*SIN(AG20)</f>
        <v>1.5459912444439425E-2</v>
      </c>
      <c r="AK20" s="28">
        <f>AC20-X20*COS(AG20)</f>
        <v>-1.9159711292609728E-2</v>
      </c>
      <c r="AL20" s="28">
        <f>AH20/$W$15</f>
        <v>1.4540087555560573E-2</v>
      </c>
      <c r="AM20" s="28">
        <f>AI20/$W$15</f>
        <v>2.2103461292609729E-2</v>
      </c>
      <c r="AN20" s="28">
        <f>AJ20/$W$15</f>
        <v>1.5459912444439425E-2</v>
      </c>
      <c r="AO20" s="28">
        <f>AK20/$W$15</f>
        <v>-1.9159711292609728E-2</v>
      </c>
      <c r="AQ20" s="28">
        <f>AL23</f>
        <v>3.0269209940078128E-2</v>
      </c>
      <c r="AR20" s="28">
        <f>AM23</f>
        <v>3.1287669502747868E-2</v>
      </c>
    </row>
    <row r="21" spans="1:44" s="28" customFormat="1" x14ac:dyDescent="0.2">
      <c r="A21" s="46"/>
      <c r="B21" s="85"/>
      <c r="C21" s="85"/>
      <c r="D21" s="85"/>
      <c r="E21" s="85"/>
      <c r="F21" s="85"/>
      <c r="G21" s="85"/>
      <c r="H21" s="85"/>
      <c r="I21" s="85"/>
      <c r="J21" s="85"/>
      <c r="K21" s="46"/>
      <c r="M21" s="34"/>
      <c r="N21" s="34"/>
      <c r="O21" s="34"/>
      <c r="P21" s="34"/>
      <c r="Q21" s="34"/>
      <c r="R21" s="35"/>
      <c r="S21" s="34"/>
      <c r="V21" s="41">
        <v>0.02</v>
      </c>
      <c r="W21" s="41">
        <f>V21*$W$15</f>
        <v>0.02</v>
      </c>
      <c r="X21" s="81">
        <f>($C$28/0.2)*$W$15*(0.2969*SQRT(W21/$W$15)-0.126*(W21/$W$15)-0.3516*(W21/$W$15)^2+0.2843*(W21/$W$15)^3-0.1015*(W21/$W$15)^4)</f>
        <v>2.3597771296114317E-2</v>
      </c>
      <c r="Y21" s="92"/>
      <c r="Z21" s="91">
        <f>2*(W21/$W$15)/$C$30-((W21/$W$15)/$C$30)^2</f>
        <v>9.7499999999999989E-2</v>
      </c>
      <c r="AA21" s="91">
        <f>(1-2*$C$30+2*$C$30*W21/$W$15-(W21/$W$15)^2)/(1-$C$30)^2</f>
        <v>0.5988888888888888</v>
      </c>
      <c r="AB21" s="82"/>
      <c r="AC21" s="81">
        <f>IF(W21&lt;$Z$15,Z21,AA21)*$C$29</f>
        <v>1.9499999999999999E-3</v>
      </c>
      <c r="AD21" s="82">
        <f>AC21/$W$15</f>
        <v>1.9499999999999999E-3</v>
      </c>
      <c r="AE21" s="82"/>
      <c r="AG21" s="28">
        <f>ATAN((AC21-AC20)/W21-W20)</f>
        <v>8.9060145261298396E-3</v>
      </c>
      <c r="AH21" s="28">
        <f>W21-X21*SIN(AG21)</f>
        <v>1.9789840684282616E-2</v>
      </c>
      <c r="AI21" s="28">
        <f>AC21+X21*COS(AG21)</f>
        <v>2.5546835448969296E-2</v>
      </c>
      <c r="AJ21" s="28">
        <f>W21+X21*SIN(AG21)</f>
        <v>2.0210159315717385E-2</v>
      </c>
      <c r="AK21" s="28">
        <f>AC21-X21*COS(AG21)</f>
        <v>-2.1646835448969295E-2</v>
      </c>
      <c r="AL21" s="28">
        <f>AH21/$W$15</f>
        <v>1.9789840684282616E-2</v>
      </c>
      <c r="AM21" s="28">
        <f>AI21/$W$15</f>
        <v>2.5546835448969296E-2</v>
      </c>
      <c r="AN21" s="28">
        <f>AJ21/$W$15</f>
        <v>2.0210159315717385E-2</v>
      </c>
      <c r="AO21" s="28">
        <f>AK21/$W$15</f>
        <v>-2.1646835448969295E-2</v>
      </c>
      <c r="AQ21" s="28">
        <f>AL25</f>
        <v>4.0763848456463594E-2</v>
      </c>
      <c r="AR21" s="28">
        <f>AM25</f>
        <v>3.6068185619584262E-2</v>
      </c>
    </row>
    <row r="22" spans="1:44" s="28" customFormat="1" x14ac:dyDescent="0.2">
      <c r="A22" s="46"/>
      <c r="B22" s="11" t="s">
        <v>83</v>
      </c>
      <c r="C22" s="11"/>
      <c r="D22" s="11"/>
      <c r="E22" s="11"/>
      <c r="F22" s="11"/>
      <c r="G22" s="11"/>
      <c r="H22" s="11"/>
      <c r="I22" s="11"/>
      <c r="J22" s="11"/>
      <c r="K22" s="46"/>
      <c r="M22" s="34"/>
      <c r="N22" s="34"/>
      <c r="O22" s="34"/>
      <c r="P22" s="34"/>
      <c r="Q22" s="34"/>
      <c r="R22" s="35"/>
      <c r="S22" s="35"/>
      <c r="V22" s="41">
        <v>2.5000000000000001E-2</v>
      </c>
      <c r="W22" s="41">
        <f>V22*$W$15</f>
        <v>2.5000000000000001E-2</v>
      </c>
      <c r="X22" s="81">
        <f>($C$28/0.2)*$W$15*(0.2969*SQRT(W22/$W$15)-0.126*(W22/$W$15)-0.3516*(W22/$W$15)^2+0.2843*(W22/$W$15)^3-0.1015*(W22/$W$15)^4)</f>
        <v>2.6147198642557257E-2</v>
      </c>
      <c r="Y22" s="92"/>
      <c r="Z22" s="91">
        <f>2*(W22/$W$15)/$C$30-((W22/$W$15)/$C$30)^2</f>
        <v>0.12109375</v>
      </c>
      <c r="AA22" s="91">
        <f>(1-2*$C$30+2*$C$30*W22/$W$15-(W22/$W$15)^2)/(1-$C$30)^2</f>
        <v>0.609375</v>
      </c>
      <c r="AB22" s="82"/>
      <c r="AC22" s="81">
        <f>IF(W22&lt;$Z$15,Z22,AA22)*$C$29</f>
        <v>2.421875E-3</v>
      </c>
      <c r="AD22" s="82">
        <f>AC22/$W$15</f>
        <v>2.421875E-3</v>
      </c>
      <c r="AE22" s="82"/>
      <c r="AG22" s="28">
        <f>ATAN((AC22-AC21)/W22-W21)</f>
        <v>-1.1249995253909829E-3</v>
      </c>
      <c r="AH22" s="28">
        <f>W22-X22*SIN(AG22)</f>
        <v>2.5029415579858338E-2</v>
      </c>
      <c r="AI22" s="28">
        <f>AC22+X22*COS(AG22)</f>
        <v>2.8569057096298821E-2</v>
      </c>
      <c r="AJ22" s="28">
        <f>W22+X22*SIN(AG22)</f>
        <v>2.4970584420141665E-2</v>
      </c>
      <c r="AK22" s="28">
        <f>AC22-X22*COS(AG22)</f>
        <v>-2.3725307096298821E-2</v>
      </c>
      <c r="AL22" s="28">
        <f>AH22/$W$15</f>
        <v>2.5029415579858338E-2</v>
      </c>
      <c r="AM22" s="28">
        <f>AI22/$W$15</f>
        <v>2.8569057096298821E-2</v>
      </c>
      <c r="AN22" s="28">
        <f>AJ22/$W$15</f>
        <v>2.4970584420141665E-2</v>
      </c>
      <c r="AO22" s="28">
        <f>AK22/$W$15</f>
        <v>-2.3725307096298821E-2</v>
      </c>
      <c r="AQ22" s="28">
        <f>AL27</f>
        <v>6.0893194802991636E-2</v>
      </c>
      <c r="AR22" s="28">
        <f>AM27</f>
        <v>4.3915414356687762E-2</v>
      </c>
    </row>
    <row r="23" spans="1:44" s="28" customFormat="1" x14ac:dyDescent="0.2">
      <c r="A23" s="46"/>
      <c r="B23" s="11"/>
      <c r="C23" s="11"/>
      <c r="D23" s="11"/>
      <c r="E23" s="11"/>
      <c r="F23" s="11"/>
      <c r="G23" s="11"/>
      <c r="H23" s="11"/>
      <c r="I23" s="11"/>
      <c r="J23" s="11"/>
      <c r="K23" s="46"/>
      <c r="M23" s="34"/>
      <c r="N23" s="34"/>
      <c r="O23" s="34"/>
      <c r="P23" s="34"/>
      <c r="Q23" s="34"/>
      <c r="R23" s="35"/>
      <c r="S23" s="35"/>
      <c r="V23" s="41">
        <v>0.03</v>
      </c>
      <c r="W23" s="41">
        <f>V23*$W$15</f>
        <v>0.03</v>
      </c>
      <c r="X23" s="81">
        <f>($C$28/0.2)*$W$15*(0.2969*SQRT(W23/$W$15)-0.126*(W23/$W$15)-0.3516*(W23/$W$15)^2+0.2843*(W23/$W$15)^3-0.1015*(W23/$W$15)^4)</f>
        <v>2.8401445417031979E-2</v>
      </c>
      <c r="Y23" s="92"/>
      <c r="Z23" s="91">
        <f>2*(W23/$W$15)/$C$30-((W23/$W$15)/$C$30)^2</f>
        <v>0.144375</v>
      </c>
      <c r="AA23" s="91">
        <f>(1-2*$C$30+2*$C$30*W23/$W$15-(W23/$W$15)^2)/(1-$C$30)^2</f>
        <v>0.61972222222222206</v>
      </c>
      <c r="AB23" s="82"/>
      <c r="AC23" s="81">
        <f>IF(W23&lt;$Z$15,Z23,AA23)*$C$29</f>
        <v>2.8875000000000003E-3</v>
      </c>
      <c r="AD23" s="82">
        <f>AC23/$W$15</f>
        <v>2.8875000000000003E-3</v>
      </c>
      <c r="AE23" s="82"/>
      <c r="AF23" s="5"/>
      <c r="AG23" s="28">
        <f>ATAN((AC23-AC22)/W23-W22)</f>
        <v>-9.4788827663937637E-3</v>
      </c>
      <c r="AH23" s="28">
        <f>W23-X23*SIN(AG23)</f>
        <v>3.0269209940078128E-2</v>
      </c>
      <c r="AI23" s="28">
        <f>AC23+X23*COS(AG23)</f>
        <v>3.1287669502747868E-2</v>
      </c>
      <c r="AJ23" s="28">
        <f>W23+X23*SIN(AG23)</f>
        <v>2.973079005992187E-2</v>
      </c>
      <c r="AK23" s="28">
        <f>AC23-X23*COS(AG23)</f>
        <v>-2.5512669502747866E-2</v>
      </c>
      <c r="AL23" s="28">
        <f>AH23/$W$15</f>
        <v>3.0269209940078128E-2</v>
      </c>
      <c r="AM23" s="28">
        <f>AI23/$W$15</f>
        <v>3.1287669502747868E-2</v>
      </c>
      <c r="AN23" s="28">
        <f>AJ23/$W$15</f>
        <v>2.973079005992187E-2</v>
      </c>
      <c r="AO23" s="28">
        <f>AK23/$W$15</f>
        <v>-2.5512669502747866E-2</v>
      </c>
      <c r="AQ23" s="28">
        <f>AL29</f>
        <v>9.2777456334298514E-2</v>
      </c>
      <c r="AR23" s="28">
        <f>AM29</f>
        <v>5.2951379948171548E-2</v>
      </c>
    </row>
    <row r="24" spans="1:44" s="28" customFormat="1" x14ac:dyDescent="0.2">
      <c r="A24" s="46"/>
      <c r="I24" s="11"/>
      <c r="J24" s="11"/>
      <c r="K24" s="46"/>
      <c r="M24" s="34"/>
      <c r="N24" s="34"/>
      <c r="O24" s="34"/>
      <c r="P24" s="34"/>
      <c r="Q24" s="34"/>
      <c r="R24" s="35"/>
      <c r="S24" s="35"/>
      <c r="V24" s="41">
        <v>3.5000000000000003E-2</v>
      </c>
      <c r="W24" s="41">
        <f>V24*$W$15</f>
        <v>3.5000000000000003E-2</v>
      </c>
      <c r="X24" s="81">
        <f>($C$28/0.2)*$W$15*(0.2969*SQRT(W24/$W$15)-0.126*(W24/$W$15)-0.3516*(W24/$W$15)^2+0.2843*(W24/$W$15)^3-0.1015*(W24/$W$15)^4)</f>
        <v>3.0429738573432993E-2</v>
      </c>
      <c r="Y24" s="92"/>
      <c r="Z24" s="91">
        <f>2*(W24/$W$15)/$C$30-((W24/$W$15)/$C$30)^2</f>
        <v>0.16734375000000001</v>
      </c>
      <c r="AA24" s="91">
        <f>(1-2*$C$30+2*$C$30*W24/$W$15-(W24/$W$15)^2)/(1-$C$30)^2</f>
        <v>0.62993055555555544</v>
      </c>
      <c r="AB24" s="82"/>
      <c r="AC24" s="81">
        <f>IF(W24&lt;$Z$15,Z24,AA24)*$C$29</f>
        <v>3.3468750000000005E-3</v>
      </c>
      <c r="AD24" s="82">
        <f>AC24/$W$15</f>
        <v>3.3468750000000005E-3</v>
      </c>
      <c r="AE24" s="82"/>
      <c r="AF24" s="5"/>
      <c r="AG24" s="28">
        <f>ATAN((AC24-AC23)/W24-W23)</f>
        <v>-1.6873398466987394E-2</v>
      </c>
      <c r="AH24" s="28">
        <f>W24-X24*SIN(AG24)</f>
        <v>3.5513428740202233E-2</v>
      </c>
      <c r="AI24" s="28">
        <f>AC24+X24*COS(AG24)</f>
        <v>3.3772281826798721E-2</v>
      </c>
      <c r="AJ24" s="28">
        <f>W24+X24*SIN(AG24)</f>
        <v>3.4486571259797774E-2</v>
      </c>
      <c r="AK24" s="28">
        <f>AC24-X24*COS(AG24)</f>
        <v>-2.7078531826798723E-2</v>
      </c>
      <c r="AL24" s="28">
        <f>AH24/$W$15</f>
        <v>3.5513428740202233E-2</v>
      </c>
      <c r="AM24" s="28">
        <f>AI24/$W$15</f>
        <v>3.3772281826798721E-2</v>
      </c>
      <c r="AN24" s="28">
        <f>AJ24/$W$15</f>
        <v>3.4486571259797774E-2</v>
      </c>
      <c r="AO24" s="28">
        <f>AK24/$W$15</f>
        <v>-2.7078531826798723E-2</v>
      </c>
      <c r="AQ24" s="28">
        <f>AL31</f>
        <v>0.12476750834380648</v>
      </c>
      <c r="AR24" s="28">
        <f>AM31</f>
        <v>5.9853463629554939E-2</v>
      </c>
    </row>
    <row r="25" spans="1:44" s="28" customFormat="1" x14ac:dyDescent="0.2">
      <c r="A25" s="46"/>
      <c r="I25" s="11"/>
      <c r="J25" s="11"/>
      <c r="K25" s="46"/>
      <c r="M25" s="34"/>
      <c r="N25" s="34"/>
      <c r="O25" s="34"/>
      <c r="P25" s="34"/>
      <c r="Q25" s="34"/>
      <c r="R25" s="35"/>
      <c r="S25" s="35"/>
      <c r="V25" s="41">
        <v>0.04</v>
      </c>
      <c r="W25" s="41">
        <f>V25*$W$15</f>
        <v>0.04</v>
      </c>
      <c r="X25" s="81">
        <f>($C$28/0.2)*$W$15*(0.2969*SQRT(W25/$W$15)-0.126*(W25/$W$15)-0.3516*(W25/$W$15)^2+0.2843*(W25/$W$15)^3-0.1015*(W25/$W$15)^4)</f>
        <v>3.2277225216000002E-2</v>
      </c>
      <c r="Y25" s="92"/>
      <c r="Z25" s="91">
        <f>2*(W25/$W$15)/$C$30-((W25/$W$15)/$C$30)^2</f>
        <v>0.18999999999999997</v>
      </c>
      <c r="AA25" s="91">
        <f>(1-2*$C$30+2*$C$30*W25/$W$15-(W25/$W$15)^2)/(1-$C$30)^2</f>
        <v>0.6399999999999999</v>
      </c>
      <c r="AB25" s="82"/>
      <c r="AC25" s="81">
        <f>IF(W25&lt;$Z$15,Z25,AA25)*$C$29</f>
        <v>3.7999999999999996E-3</v>
      </c>
      <c r="AD25" s="82">
        <f>AC25/$W$15</f>
        <v>3.7999999999999996E-3</v>
      </c>
      <c r="AE25" s="82"/>
      <c r="AG25" s="28">
        <f>ATAN((AC25-AC24)/W25-W24)</f>
        <v>-2.3667454913793993E-2</v>
      </c>
      <c r="AH25" s="28">
        <f>W25-X25*SIN(AG25)</f>
        <v>4.0763848456463594E-2</v>
      </c>
      <c r="AI25" s="28">
        <f>AC25+X25*COS(AG25)</f>
        <v>3.6068185619584262E-2</v>
      </c>
      <c r="AJ25" s="28">
        <f>W25+X25*SIN(AG25)</f>
        <v>3.9236151543536407E-2</v>
      </c>
      <c r="AK25" s="28">
        <f>AC25-X25*COS(AG25)</f>
        <v>-2.8468185619584266E-2</v>
      </c>
      <c r="AL25" s="28">
        <f>AH25/$W$15</f>
        <v>4.0763848456463594E-2</v>
      </c>
      <c r="AM25" s="28">
        <f>AI25/$W$15</f>
        <v>3.6068185619584262E-2</v>
      </c>
      <c r="AN25" s="28">
        <f>AJ25/$W$15</f>
        <v>3.9236151543536407E-2</v>
      </c>
      <c r="AO25" s="28">
        <f>AK25/$W$15</f>
        <v>-2.8468185619584266E-2</v>
      </c>
      <c r="AQ25" s="28">
        <f>AL33</f>
        <v>0.1568157758012593</v>
      </c>
      <c r="AR25" s="28">
        <f>AM33</f>
        <v>6.5202771181404481E-2</v>
      </c>
    </row>
    <row r="26" spans="1:44" s="28" customFormat="1" x14ac:dyDescent="0.2">
      <c r="A26" s="46"/>
      <c r="I26" s="11"/>
      <c r="J26" s="11"/>
      <c r="K26" s="46"/>
      <c r="M26" s="34"/>
      <c r="N26" s="34"/>
      <c r="O26" s="34"/>
      <c r="P26" s="34"/>
      <c r="Q26" s="34"/>
      <c r="R26" s="35"/>
      <c r="S26" s="35"/>
      <c r="V26" s="41">
        <v>4.4999999999999998E-2</v>
      </c>
      <c r="W26" s="41">
        <f>V26*$W$15</f>
        <v>4.4999999999999998E-2</v>
      </c>
      <c r="X26" s="81">
        <f>($C$28/0.2)*$W$15*(0.2969*SQRT(W26/$W$15)-0.126*(W26/$W$15)-0.3516*(W26/$W$15)^2+0.2843*(W26/$W$15)^3-0.1015*(W26/$W$15)^4)</f>
        <v>3.3975300974608963E-2</v>
      </c>
      <c r="Y26" s="92"/>
      <c r="Z26" s="91">
        <f>2*(W26/$W$15)/$C$30-((W26/$W$15)/$C$30)^2</f>
        <v>0.21234374999999997</v>
      </c>
      <c r="AA26" s="91">
        <f>(1-2*$C$30+2*$C$30*W26/$W$15-(W26/$W$15)^2)/(1-$C$30)^2</f>
        <v>0.64993055555555546</v>
      </c>
      <c r="AB26" s="82"/>
      <c r="AC26" s="81">
        <f>IF(W26&lt;$Z$15,Z26,AA26)*$C$29</f>
        <v>4.2468749999999998E-3</v>
      </c>
      <c r="AD26" s="82">
        <f>AC26/$W$15</f>
        <v>4.2468749999999998E-3</v>
      </c>
      <c r="AE26" s="82"/>
      <c r="AG26" s="28">
        <f>ATAN((AC26-AC25)/W26-W25)</f>
        <v>-3.0060386712994869E-2</v>
      </c>
      <c r="AH26" s="28">
        <f>W26-X26*SIN(AG26)</f>
        <v>4.6021156878976947E-2</v>
      </c>
      <c r="AI26" s="28">
        <f>AC26+X26*COS(AG26)</f>
        <v>3.8206826633413481E-2</v>
      </c>
      <c r="AJ26" s="28">
        <f>W26+X26*SIN(AG26)</f>
        <v>4.3978843121023049E-2</v>
      </c>
      <c r="AK26" s="28">
        <f>AC26-X26*COS(AG26)</f>
        <v>-2.9713076633413483E-2</v>
      </c>
      <c r="AL26" s="28">
        <f>AH26/$W$15</f>
        <v>4.6021156878976947E-2</v>
      </c>
      <c r="AM26" s="28">
        <f>AI26/$W$15</f>
        <v>3.8206826633413481E-2</v>
      </c>
      <c r="AN26" s="28">
        <f>AJ26/$W$15</f>
        <v>4.3978843121023049E-2</v>
      </c>
      <c r="AO26" s="28">
        <f>AK26/$W$15</f>
        <v>-2.9713076633413483E-2</v>
      </c>
      <c r="AQ26" s="28">
        <f>AL35</f>
        <v>0.18887198182625373</v>
      </c>
      <c r="AR26" s="28">
        <f>AM35</f>
        <v>6.9309782601258224E-2</v>
      </c>
    </row>
    <row r="27" spans="1:44" s="28" customFormat="1" x14ac:dyDescent="0.2">
      <c r="A27" s="46"/>
      <c r="I27" s="11"/>
      <c r="J27" s="11"/>
      <c r="K27" s="46"/>
      <c r="M27" s="34"/>
      <c r="N27" s="34"/>
      <c r="O27" s="34"/>
      <c r="P27" s="34"/>
      <c r="Q27" s="34"/>
      <c r="R27" s="35"/>
      <c r="S27" s="35"/>
      <c r="V27" s="41">
        <v>0.06</v>
      </c>
      <c r="W27" s="41">
        <f>V27*$W$15</f>
        <v>0.06</v>
      </c>
      <c r="X27" s="81">
        <f>($C$28/0.2)*$W$15*(0.2969*SQRT(W27/$W$15)-0.126*(W27/$W$15)-0.3516*(W27/$W$15)^2+0.2843*(W27/$W$15)^3-0.1015*(W27/$W$15)^4)</f>
        <v>3.8375810293939529E-2</v>
      </c>
      <c r="Y27" s="92"/>
      <c r="Z27" s="91">
        <f>2*(W27/$W$15)/$C$30-((W27/$W$15)/$C$30)^2</f>
        <v>0.27749999999999997</v>
      </c>
      <c r="AA27" s="91">
        <f>(1-2*$C$30+2*$C$30*W27/$W$15-(W27/$W$15)^2)/(1-$C$30)^2</f>
        <v>0.67888888888888876</v>
      </c>
      <c r="AB27" s="82"/>
      <c r="AC27" s="81">
        <f>IF(W27&lt;$Z$15,Z27,AA27)*$C$29</f>
        <v>5.5499999999999994E-3</v>
      </c>
      <c r="AD27" s="82">
        <f>AC27/$W$15</f>
        <v>5.5499999999999994E-3</v>
      </c>
      <c r="AE27" s="82"/>
      <c r="AG27" s="28">
        <f>ATAN((AC27-AC26)/W27-W26)</f>
        <v>-2.3277045092724675E-2</v>
      </c>
      <c r="AH27" s="28">
        <f>W27-X27*SIN(AG27)</f>
        <v>6.0893194802991636E-2</v>
      </c>
      <c r="AI27" s="28">
        <f>AC27+X27*COS(AG27)</f>
        <v>4.3915414356687762E-2</v>
      </c>
      <c r="AJ27" s="28">
        <f>W27+X27*SIN(AG27)</f>
        <v>5.9106805197008359E-2</v>
      </c>
      <c r="AK27" s="28">
        <f>AC27-X27*COS(AG27)</f>
        <v>-3.2815414356687764E-2</v>
      </c>
      <c r="AL27" s="28">
        <f>AH27/$W$15</f>
        <v>6.0893194802991636E-2</v>
      </c>
      <c r="AM27" s="28">
        <f>AI27/$W$15</f>
        <v>4.3915414356687762E-2</v>
      </c>
      <c r="AN27" s="28">
        <f>AJ27/$W$15</f>
        <v>5.9106805197008359E-2</v>
      </c>
      <c r="AO27" s="28">
        <f>AK27/$W$15</f>
        <v>-3.2815414356687764E-2</v>
      </c>
      <c r="AQ27" s="28">
        <f>AL37</f>
        <v>0.23121247867328495</v>
      </c>
      <c r="AR27" s="28">
        <f>AM37</f>
        <v>7.3249542581247079E-2</v>
      </c>
    </row>
    <row r="28" spans="1:44" s="28" customFormat="1" x14ac:dyDescent="0.2">
      <c r="A28" s="46"/>
      <c r="B28" s="30" t="s">
        <v>72</v>
      </c>
      <c r="C28" s="87">
        <f>RIGHT(C15,2)/100</f>
        <v>0.12</v>
      </c>
      <c r="D28" s="28" t="s">
        <v>73</v>
      </c>
      <c r="E28" s="11"/>
      <c r="F28" s="11"/>
      <c r="G28" s="11"/>
      <c r="H28" s="11"/>
      <c r="I28" s="11"/>
      <c r="J28" s="11"/>
      <c r="K28" s="46"/>
      <c r="M28" s="34"/>
      <c r="N28" s="34"/>
      <c r="O28" s="34"/>
      <c r="P28" s="34"/>
      <c r="Q28" s="34"/>
      <c r="R28" s="35"/>
      <c r="S28" s="86"/>
      <c r="V28" s="41">
        <v>7.4999999999999997E-2</v>
      </c>
      <c r="W28" s="41">
        <f>V28*$W$15</f>
        <v>7.4999999999999997E-2</v>
      </c>
      <c r="X28" s="81">
        <f>($C$28/0.2)*$W$15*(0.2969*SQRT(W28/$W$15)-0.126*(W28/$W$15)-0.3516*(W28/$W$15)^2+0.2843*(W28/$W$15)^3-0.1015*(W28/$W$15)^4)</f>
        <v>4.1999034720422643E-2</v>
      </c>
      <c r="Y28" s="92"/>
      <c r="Z28" s="91">
        <f>2*(W28/$W$15)/$C$30-((W28/$W$15)/$C$30)^2</f>
        <v>0.33984374999999994</v>
      </c>
      <c r="AA28" s="91">
        <f>(1-2*$C$30+2*$C$30*W28/$W$15-(W28/$W$15)^2)/(1-$C$30)^2</f>
        <v>0.7065972222222221</v>
      </c>
      <c r="AB28" s="82"/>
      <c r="AC28" s="81">
        <f>IF(W28&lt;$Z$15,Z28,AA28)*$C$29</f>
        <v>6.7968749999999991E-3</v>
      </c>
      <c r="AD28" s="82">
        <f>AC28/$W$15</f>
        <v>6.7968749999999991E-3</v>
      </c>
      <c r="AE28" s="82"/>
      <c r="AG28" s="28">
        <f>ATAN((AC28-AC27)/W28-W27)</f>
        <v>-4.3347828892305339E-2</v>
      </c>
      <c r="AH28" s="28">
        <f>W28-X28*SIN(AG28)</f>
        <v>7.6819996872979135E-2</v>
      </c>
      <c r="AI28" s="28">
        <f>AC28+X28*COS(AG28)</f>
        <v>4.8756457085974265E-2</v>
      </c>
      <c r="AJ28" s="28">
        <f>W28+X28*SIN(AG28)</f>
        <v>7.318000312702086E-2</v>
      </c>
      <c r="AK28" s="28">
        <f>AC28-X28*COS(AG28)</f>
        <v>-3.5162707085974264E-2</v>
      </c>
      <c r="AL28" s="28">
        <f>AH28/$W$15</f>
        <v>7.6819996872979135E-2</v>
      </c>
      <c r="AM28" s="28">
        <f>AI28/$W$15</f>
        <v>4.8756457085974265E-2</v>
      </c>
      <c r="AN28" s="28">
        <f>AJ28/$W$15</f>
        <v>7.318000312702086E-2</v>
      </c>
      <c r="AO28" s="28">
        <f>AK28/$W$15</f>
        <v>-3.5162707085974264E-2</v>
      </c>
      <c r="AQ28" s="28">
        <f>AL39</f>
        <v>0.27375930500772799</v>
      </c>
      <c r="AR28" s="28">
        <f>AM39</f>
        <v>7.5577888110450506E-2</v>
      </c>
    </row>
    <row r="29" spans="1:44" s="28" customFormat="1" x14ac:dyDescent="0.2">
      <c r="A29" s="46"/>
      <c r="B29" s="30" t="s">
        <v>74</v>
      </c>
      <c r="C29" s="87">
        <f>LEFT(C15,1)/100</f>
        <v>0.02</v>
      </c>
      <c r="D29" s="28" t="s">
        <v>75</v>
      </c>
      <c r="E29" s="11"/>
      <c r="F29" s="11"/>
      <c r="G29" s="11"/>
      <c r="H29" s="11"/>
      <c r="I29" s="11"/>
      <c r="J29" s="11"/>
      <c r="K29" s="46"/>
      <c r="M29" s="34"/>
      <c r="N29" s="34"/>
      <c r="O29" s="34"/>
      <c r="P29" s="34"/>
      <c r="Q29" s="34"/>
      <c r="R29" s="35"/>
      <c r="S29" s="35"/>
      <c r="V29" s="41">
        <v>0.09</v>
      </c>
      <c r="W29" s="41">
        <f>V29*$W$15</f>
        <v>0.09</v>
      </c>
      <c r="X29" s="81">
        <f>($C$28/0.2)*$W$15*(0.2969*SQRT(W29/$W$15)-0.126*(W29/$W$15)-0.3516*(W29/$W$15)^2+0.2843*(W29/$W$15)^3-0.1015*(W29/$W$15)^4)</f>
        <v>4.5049581171000004E-2</v>
      </c>
      <c r="Y29" s="92"/>
      <c r="Z29" s="91">
        <f>2*(W29/$W$15)/$C$30-((W29/$W$15)/$C$30)^2</f>
        <v>0.39937499999999998</v>
      </c>
      <c r="AA29" s="91">
        <f>(1-2*$C$30+2*$C$30*W29/$W$15-(W29/$W$15)^2)/(1-$C$30)^2</f>
        <v>0.73305555555555546</v>
      </c>
      <c r="AB29" s="82"/>
      <c r="AC29" s="81">
        <f>IF(W29&lt;$Z$15,Z29,AA29)*$C$29</f>
        <v>7.9874999999999998E-3</v>
      </c>
      <c r="AD29" s="82">
        <f>AC29/$W$15</f>
        <v>7.9874999999999998E-3</v>
      </c>
      <c r="AE29" s="82"/>
      <c r="AG29" s="28">
        <f>ATAN((AC29-AC28)/W29-W28)</f>
        <v>-6.169244770776753E-2</v>
      </c>
      <c r="AH29" s="28">
        <f>W29-X29*SIN(AG29)</f>
        <v>9.2777456334298514E-2</v>
      </c>
      <c r="AI29" s="28">
        <f>AC29+X29*COS(AG29)</f>
        <v>5.2951379948171548E-2</v>
      </c>
      <c r="AJ29" s="28">
        <f>W29+X29*SIN(AG29)</f>
        <v>8.722254366570148E-2</v>
      </c>
      <c r="AK29" s="28">
        <f>AC29-X29*COS(AG29)</f>
        <v>-3.6976379948171545E-2</v>
      </c>
      <c r="AL29" s="28">
        <f>AH29/$W$15</f>
        <v>9.2777456334298514E-2</v>
      </c>
      <c r="AM29" s="28">
        <f>AI29/$W$15</f>
        <v>5.2951379948171548E-2</v>
      </c>
      <c r="AN29" s="28">
        <f>AJ29/$W$15</f>
        <v>8.722254366570148E-2</v>
      </c>
      <c r="AO29" s="28">
        <f>AK29/$W$15</f>
        <v>-3.6976379948171545E-2</v>
      </c>
      <c r="AQ29" s="28">
        <f>AL41</f>
        <v>0.31608412755634585</v>
      </c>
      <c r="AR29" s="28">
        <f>AM41</f>
        <v>7.6571908530901928E-2</v>
      </c>
    </row>
    <row r="30" spans="1:44" s="28" customFormat="1" x14ac:dyDescent="0.2">
      <c r="A30" s="46"/>
      <c r="B30" s="30" t="s">
        <v>76</v>
      </c>
      <c r="C30" s="87">
        <f>RIGHT(LEFT(C15,2),1)/10</f>
        <v>0.4</v>
      </c>
      <c r="D30" s="28" t="s">
        <v>77</v>
      </c>
      <c r="E30" s="11"/>
      <c r="F30" s="11"/>
      <c r="G30" s="11"/>
      <c r="H30" s="11"/>
      <c r="I30" s="11"/>
      <c r="J30" s="11"/>
      <c r="K30" s="46"/>
      <c r="M30" s="34"/>
      <c r="N30" s="34"/>
      <c r="O30" s="34"/>
      <c r="P30" s="34"/>
      <c r="Q30" s="34"/>
      <c r="R30" s="35"/>
      <c r="S30" s="35"/>
      <c r="V30" s="41">
        <v>0.105</v>
      </c>
      <c r="W30" s="41">
        <f>V30*$W$15</f>
        <v>0.105</v>
      </c>
      <c r="X30" s="81">
        <f>($C$28/0.2)*$W$15*(0.2969*SQRT(W30/$W$15)-0.126*(W30/$W$15)-0.3516*(W30/$W$15)^2+0.2843*(W30/$W$15)^3-0.1015*(W30/$W$15)^4)</f>
        <v>4.7650188640156299E-2</v>
      </c>
      <c r="Y30" s="92"/>
      <c r="Z30" s="91">
        <f>2*(W30/$W$15)/$C$30-((W30/$W$15)/$C$30)^2</f>
        <v>0.45609374999999996</v>
      </c>
      <c r="AA30" s="91">
        <f>(1-2*$C$30+2*$C$30*W30/$W$15-(W30/$W$15)^2)/(1-$C$30)^2</f>
        <v>0.75826388888888885</v>
      </c>
      <c r="AB30" s="82"/>
      <c r="AC30" s="81">
        <f>IF(W30&lt;$Z$15,Z30,AA30)*$C$29</f>
        <v>9.1218749999999998E-3</v>
      </c>
      <c r="AD30" s="82">
        <f>AC30/$W$15</f>
        <v>9.1218749999999998E-3</v>
      </c>
      <c r="AE30" s="82"/>
      <c r="AG30" s="28">
        <f>ATAN((AC30-AC29)/W30-W29)</f>
        <v>-7.9031473599060167E-2</v>
      </c>
      <c r="AH30" s="28">
        <f>W30-X30*SIN(AG30)</f>
        <v>0.10876194560096826</v>
      </c>
      <c r="AI30" s="28">
        <f>AC30+X30*COS(AG30)</f>
        <v>5.662333016442455E-2</v>
      </c>
      <c r="AJ30" s="28">
        <f>W30+X30*SIN(AG30)</f>
        <v>0.10123805439903173</v>
      </c>
      <c r="AK30" s="28">
        <f>AC30-X30*COS(AG30)</f>
        <v>-3.8379580164424547E-2</v>
      </c>
      <c r="AL30" s="28">
        <f>AH30/$W$15</f>
        <v>0.10876194560096826</v>
      </c>
      <c r="AM30" s="28">
        <f>AI30/$W$15</f>
        <v>5.662333016442455E-2</v>
      </c>
      <c r="AN30" s="28">
        <f>AJ30/$W$15</f>
        <v>0.10123805439903173</v>
      </c>
      <c r="AO30" s="28">
        <f>AK30/$W$15</f>
        <v>-3.8379580164424547E-2</v>
      </c>
      <c r="AQ30" s="28">
        <f>AL43</f>
        <v>0.35813355878290315</v>
      </c>
      <c r="AR30" s="28">
        <f>AM43</f>
        <v>7.6400253445708305E-2</v>
      </c>
    </row>
    <row r="31" spans="1:44" s="28" customFormat="1" x14ac:dyDescent="0.2">
      <c r="A31" s="46"/>
      <c r="B31" s="30" t="s">
        <v>78</v>
      </c>
      <c r="C31" s="28" t="str">
        <f>[1]!xln(C32,-1)</f>
        <v xml:space="preserve"> - 100 × (0.02) - 3.2 × (0.4) + 1.4</v>
      </c>
      <c r="E31" s="11"/>
      <c r="F31" s="11"/>
      <c r="G31" s="11"/>
      <c r="H31" s="11"/>
      <c r="I31" s="11"/>
      <c r="J31" s="11"/>
      <c r="K31" s="46"/>
      <c r="M31" s="34"/>
      <c r="N31" s="34"/>
      <c r="O31" s="34"/>
      <c r="P31" s="34"/>
      <c r="Q31" s="34"/>
      <c r="R31" s="35"/>
      <c r="S31" s="35"/>
      <c r="V31" s="41">
        <v>0.12</v>
      </c>
      <c r="W31" s="41">
        <f>V31*$W$15</f>
        <v>0.12</v>
      </c>
      <c r="X31" s="81">
        <f>($C$28/0.2)*$W$15*(0.2969*SQRT(W31/$W$15)-0.126*(W31/$W$15)-0.3516*(W31/$W$15)^2+0.2843*(W31/$W$15)^3-0.1015*(W31/$W$15)^4)</f>
        <v>4.9881816188063956E-2</v>
      </c>
      <c r="Y31" s="92"/>
      <c r="Z31" s="91">
        <f>2*(W31/$W$15)/$C$30-((W31/$W$15)/$C$30)^2</f>
        <v>0.51</v>
      </c>
      <c r="AA31" s="91">
        <f>(1-2*$C$30+2*$C$30*W31/$W$15-(W31/$W$15)^2)/(1-$C$30)^2</f>
        <v>0.78222222222222204</v>
      </c>
      <c r="AB31" s="82"/>
      <c r="AC31" s="81">
        <f>IF(W31&lt;$Z$15,Z31,AA31)*$C$29</f>
        <v>1.0200000000000001E-2</v>
      </c>
      <c r="AD31" s="82">
        <f>AC31/$W$15</f>
        <v>1.0200000000000001E-2</v>
      </c>
      <c r="AE31" s="82"/>
      <c r="AG31" s="28">
        <f>ATAN((AC31-AC30)/W31-W30)</f>
        <v>-9.5722190378776204E-2</v>
      </c>
      <c r="AH31" s="28">
        <f>W31-X31*SIN(AG31)</f>
        <v>0.12476750834380648</v>
      </c>
      <c r="AI31" s="28">
        <f>AC31+X31*COS(AG31)</f>
        <v>5.9853463629554939E-2</v>
      </c>
      <c r="AJ31" s="28">
        <f>W31+X31*SIN(AG31)</f>
        <v>0.11523249165619351</v>
      </c>
      <c r="AK31" s="28">
        <f>AC31-X31*COS(AG31)</f>
        <v>-3.9453463629554937E-2</v>
      </c>
      <c r="AL31" s="28">
        <f>AH31/$W$15</f>
        <v>0.12476750834380648</v>
      </c>
      <c r="AM31" s="28">
        <f>AI31/$W$15</f>
        <v>5.9853463629554939E-2</v>
      </c>
      <c r="AN31" s="28">
        <f>AJ31/$W$15</f>
        <v>0.11523249165619351</v>
      </c>
      <c r="AO31" s="28">
        <f>AK31/$W$15</f>
        <v>-3.9453463629554937E-2</v>
      </c>
      <c r="AQ31" s="28">
        <f>AL45</f>
        <v>0.39986774711660433</v>
      </c>
      <c r="AR31" s="28">
        <f>AM45</f>
        <v>7.5198766222536739E-2</v>
      </c>
    </row>
    <row r="32" spans="1:44" s="28" customFormat="1" x14ac:dyDescent="0.2">
      <c r="A32" s="46"/>
      <c r="B32" s="30" t="s">
        <v>79</v>
      </c>
      <c r="C32" s="11">
        <f>-100*(C29)-3.2*(C30)+1.4</f>
        <v>-1.8800000000000003</v>
      </c>
      <c r="D32" s="28" t="s">
        <v>80</v>
      </c>
      <c r="H32" s="11"/>
      <c r="J32" s="11"/>
      <c r="M32" s="34"/>
      <c r="N32" s="34"/>
      <c r="O32" s="34"/>
      <c r="P32" s="34"/>
      <c r="Q32" s="34"/>
      <c r="R32" s="35"/>
      <c r="S32" s="35"/>
      <c r="V32" s="41">
        <v>0.13500000000000001</v>
      </c>
      <c r="W32" s="41">
        <f>V32*$W$15</f>
        <v>0.13500000000000001</v>
      </c>
      <c r="X32" s="81">
        <f>($C$28/0.2)*$W$15*(0.2969*SQRT(W32/$W$15)-0.126*(W32/$W$15)-0.3516*(W32/$W$15)^2+0.2843*(W32/$W$15)^3-0.1015*(W32/$W$15)^4)</f>
        <v>5.1801532211346799E-2</v>
      </c>
      <c r="Y32" s="92"/>
      <c r="Z32" s="91">
        <f>2*(W32/$W$15)/$C$30-((W32/$W$15)/$C$30)^2</f>
        <v>0.56109375000000006</v>
      </c>
      <c r="AA32" s="91">
        <f>(1-2*$C$30+2*$C$30*W32/$W$15-(W32/$W$15)^2)/(1-$C$30)^2</f>
        <v>0.80493055555555548</v>
      </c>
      <c r="AB32" s="82"/>
      <c r="AC32" s="81">
        <f>IF(W32&lt;$Z$15,Z32,AA32)*$C$29</f>
        <v>1.1221875000000001E-2</v>
      </c>
      <c r="AD32" s="82">
        <f>AC32/$W$15</f>
        <v>1.1221875000000001E-2</v>
      </c>
      <c r="AE32" s="82"/>
      <c r="AG32" s="28">
        <f>ATAN((AC32-AC31)/W32-W31)</f>
        <v>-0.11196038537420569</v>
      </c>
      <c r="AH32" s="28">
        <f>W32-X32*SIN(AG32)</f>
        <v>0.14078761039701346</v>
      </c>
      <c r="AI32" s="28">
        <f>AC32+X32*COS(AG32)</f>
        <v>6.2699076801725609E-2</v>
      </c>
      <c r="AJ32" s="28">
        <f>W32+X32*SIN(AG32)</f>
        <v>0.12921238960298656</v>
      </c>
      <c r="AK32" s="28">
        <f>AC32-X32*COS(AG32)</f>
        <v>-4.0255326801725604E-2</v>
      </c>
      <c r="AL32" s="28">
        <f>AH32/$W$15</f>
        <v>0.14078761039701346</v>
      </c>
      <c r="AM32" s="28">
        <f>AI32/$W$15</f>
        <v>6.2699076801725609E-2</v>
      </c>
      <c r="AN32" s="28">
        <f>AJ32/$W$15</f>
        <v>0.12921238960298656</v>
      </c>
      <c r="AO32" s="28">
        <f>AK32/$W$15</f>
        <v>-4.0255326801725604E-2</v>
      </c>
      <c r="AQ32" s="28">
        <f>AL47</f>
        <v>0.50142054854592133</v>
      </c>
      <c r="AR32" s="28">
        <f>AM47</f>
        <v>6.9386035929046963E-2</v>
      </c>
    </row>
    <row r="33" spans="1:44" s="28" customFormat="1" x14ac:dyDescent="0.2">
      <c r="I33" s="11"/>
      <c r="J33" s="11"/>
      <c r="M33" s="34"/>
      <c r="N33" s="34"/>
      <c r="O33" s="34"/>
      <c r="P33" s="34"/>
      <c r="Q33" s="34"/>
      <c r="R33" s="35"/>
      <c r="S33" s="35"/>
      <c r="V33" s="41">
        <v>0.15</v>
      </c>
      <c r="W33" s="41">
        <f>V33*$W$15</f>
        <v>0.15</v>
      </c>
      <c r="X33" s="81">
        <f>($C$28/0.2)*$W$15*(0.2969*SQRT(W33/$W$15)-0.126*(W33/$W$15)-0.3516*(W33/$W$15)^2+0.2843*(W33/$W$15)^3-0.1015*(W33/$W$15)^4)</f>
        <v>5.3451602204338915E-2</v>
      </c>
      <c r="Y33" s="92"/>
      <c r="Z33" s="91">
        <f>2*(W33/$W$15)/$C$30-((W33/$W$15)/$C$30)^2</f>
        <v>0.609375</v>
      </c>
      <c r="AA33" s="91">
        <f>(1-2*$C$30+2*$C$30*W33/$W$15-(W33/$W$15)^2)/(1-$C$30)^2</f>
        <v>0.82638888888888873</v>
      </c>
      <c r="AB33" s="82"/>
      <c r="AC33" s="81">
        <f>IF(W33&lt;$Z$15,Z33,AA33)*$C$29</f>
        <v>1.21875E-2</v>
      </c>
      <c r="AD33" s="82">
        <f>AC33/$W$15</f>
        <v>1.21875E-2</v>
      </c>
      <c r="AE33" s="82"/>
      <c r="AG33" s="28">
        <f>ATAN((AC33-AC32)/W33-W32)</f>
        <v>-0.12786113517324915</v>
      </c>
      <c r="AH33" s="28">
        <f>W33-X33*SIN(AG33)</f>
        <v>0.1568157758012593</v>
      </c>
      <c r="AI33" s="28">
        <f>AC33+X33*COS(AG33)</f>
        <v>6.5202771181404481E-2</v>
      </c>
      <c r="AJ33" s="28">
        <f>W33+X33*SIN(AG33)</f>
        <v>0.14318422419874069</v>
      </c>
      <c r="AK33" s="28">
        <f>AC33-X33*COS(AG33)</f>
        <v>-4.0827771181404487E-2</v>
      </c>
      <c r="AL33" s="28">
        <f>AH33/$W$15</f>
        <v>0.1568157758012593</v>
      </c>
      <c r="AM33" s="28">
        <f>AI33/$W$15</f>
        <v>6.5202771181404481E-2</v>
      </c>
      <c r="AN33" s="28">
        <f>AJ33/$W$15</f>
        <v>0.14318422419874069</v>
      </c>
      <c r="AO33" s="28">
        <f>AK33/$W$15</f>
        <v>-4.0827771181404487E-2</v>
      </c>
      <c r="AQ33" s="28">
        <f>AL49</f>
        <v>0.60217188671248412</v>
      </c>
      <c r="AR33" s="28">
        <f>AM49</f>
        <v>5.9916888150077327E-2</v>
      </c>
    </row>
    <row r="34" spans="1:44" s="28" customFormat="1" x14ac:dyDescent="0.2">
      <c r="A34" s="46"/>
      <c r="G34" s="11"/>
      <c r="H34" s="11"/>
      <c r="I34" s="11"/>
      <c r="J34" s="11"/>
      <c r="M34" s="34"/>
      <c r="N34" s="34"/>
      <c r="O34" s="34"/>
      <c r="P34" s="34"/>
      <c r="Q34" s="34"/>
      <c r="R34" s="35"/>
      <c r="S34" s="35"/>
      <c r="V34" s="41">
        <v>0.16500000000000001</v>
      </c>
      <c r="W34" s="41">
        <f>V34*$W$15</f>
        <v>0.16500000000000001</v>
      </c>
      <c r="X34" s="81">
        <f>($C$28/0.2)*$W$15*(0.2969*SQRT(W34/$W$15)-0.126*(W34/$W$15)-0.3516*(W34/$W$15)^2+0.2843*(W34/$W$15)^3-0.1015*(W34/$W$15)^4)</f>
        <v>5.4864551634529989E-2</v>
      </c>
      <c r="Y34" s="92"/>
      <c r="Z34" s="91">
        <f>2*(W34/$W$15)/$C$30-((W34/$W$15)/$C$30)^2</f>
        <v>0.65484374999999995</v>
      </c>
      <c r="AA34" s="91">
        <f>(1-2*$C$30+2*$C$30*W34/$W$15-(W34/$W$15)^2)/(1-$C$30)^2</f>
        <v>0.84659722222222211</v>
      </c>
      <c r="AB34" s="82"/>
      <c r="AC34" s="81">
        <f>IF(W34&lt;$Z$15,Z34,AA34)*$C$29</f>
        <v>1.3096874999999999E-2</v>
      </c>
      <c r="AD34" s="82">
        <f>AC34/$W$15</f>
        <v>1.3096874999999999E-2</v>
      </c>
      <c r="AE34" s="82"/>
      <c r="AG34" s="28">
        <f>ATAN((AC34-AC33)/W34-W33)</f>
        <v>-0.14349555176744164</v>
      </c>
      <c r="AH34" s="28">
        <f>W34-X34*SIN(AG34)</f>
        <v>0.1728458287440422</v>
      </c>
      <c r="AI34" s="28">
        <f>AC34+X34*COS(AG34)</f>
        <v>6.7397537955227058E-2</v>
      </c>
      <c r="AJ34" s="28">
        <f>W34+X34*SIN(AG34)</f>
        <v>0.15715417125595782</v>
      </c>
      <c r="AK34" s="28">
        <f>AC34-X34*COS(AG34)</f>
        <v>-4.1203787955227056E-2</v>
      </c>
      <c r="AL34" s="28">
        <f>AH34/$W$15</f>
        <v>0.1728458287440422</v>
      </c>
      <c r="AM34" s="28">
        <f>AI34/$W$15</f>
        <v>6.7397537955227058E-2</v>
      </c>
      <c r="AN34" s="28">
        <f>AJ34/$W$15</f>
        <v>0.15715417125595782</v>
      </c>
      <c r="AO34" s="28">
        <f>AK34/$W$15</f>
        <v>-4.1203787955227056E-2</v>
      </c>
      <c r="AQ34" s="28">
        <f>AL51</f>
        <v>0.70060073396782818</v>
      </c>
      <c r="AR34" s="28">
        <f>AM51</f>
        <v>4.8236245052742086E-2</v>
      </c>
    </row>
    <row r="35" spans="1:44" s="28" customFormat="1" x14ac:dyDescent="0.2">
      <c r="A35" s="46"/>
      <c r="G35" s="11"/>
      <c r="H35" s="11"/>
      <c r="I35" s="11"/>
      <c r="J35" s="11"/>
      <c r="M35" s="34"/>
      <c r="N35" s="34"/>
      <c r="O35" s="34"/>
      <c r="P35" s="34"/>
      <c r="Q35" s="34"/>
      <c r="R35" s="35"/>
      <c r="S35" s="86"/>
      <c r="V35" s="41">
        <v>0.18</v>
      </c>
      <c r="W35" s="41">
        <f>V35*$W$15</f>
        <v>0.18</v>
      </c>
      <c r="X35" s="81">
        <f>($C$28/0.2)*$W$15*(0.2969*SQRT(W35/$W$15)-0.126*(W35/$W$15)-0.3516*(W35/$W$15)^2+0.2843*(W35/$W$15)^3-0.1015*(W35/$W$15)^4)</f>
        <v>5.6066189376342931E-2</v>
      </c>
      <c r="Y35" s="92"/>
      <c r="Z35" s="91">
        <f>2*(W35/$W$15)/$C$30-((W35/$W$15)/$C$30)^2</f>
        <v>0.69750000000000001</v>
      </c>
      <c r="AA35" s="91">
        <f>(1-2*$C$30+2*$C$30*W35/$W$15-(W35/$W$15)^2)/(1-$C$30)^2</f>
        <v>0.86555555555555552</v>
      </c>
      <c r="AB35" s="82"/>
      <c r="AC35" s="81">
        <f>IF(W35&lt;$Z$15,Z35,AA35)*$C$29</f>
        <v>1.3950000000000001E-2</v>
      </c>
      <c r="AD35" s="82">
        <f>AC35/$W$15</f>
        <v>1.3950000000000001E-2</v>
      </c>
      <c r="AE35" s="82"/>
      <c r="AG35" s="28">
        <f>ATAN((AC35-AC34)/W35-W34)</f>
        <v>-0.15890916827225379</v>
      </c>
      <c r="AH35" s="28">
        <f>W35-X35*SIN(AG35)</f>
        <v>0.18887198182625373</v>
      </c>
      <c r="AI35" s="28">
        <f>AC35+X35*COS(AG35)</f>
        <v>6.9309782601258224E-2</v>
      </c>
      <c r="AJ35" s="28">
        <f>W35+X35*SIN(AG35)</f>
        <v>0.17112801817374626</v>
      </c>
      <c r="AK35" s="28">
        <f>AC35-X35*COS(AG35)</f>
        <v>-4.1409782601258216E-2</v>
      </c>
      <c r="AL35" s="28">
        <f>AH35/$W$15</f>
        <v>0.18887198182625373</v>
      </c>
      <c r="AM35" s="28">
        <f>AI35/$W$15</f>
        <v>6.9309782601258224E-2</v>
      </c>
      <c r="AN35" s="28">
        <f>AJ35/$W$15</f>
        <v>0.17112801817374626</v>
      </c>
      <c r="AO35" s="28">
        <f>AK35/$W$15</f>
        <v>-4.1409782601258216E-2</v>
      </c>
      <c r="AQ35" s="28">
        <f>AL53</f>
        <v>0.79679445612751465</v>
      </c>
      <c r="AR35" s="28">
        <f>AM53</f>
        <v>3.4904471218549546E-2</v>
      </c>
    </row>
    <row r="36" spans="1:44" s="28" customFormat="1" x14ac:dyDescent="0.2">
      <c r="A36" s="46"/>
      <c r="G36" s="11"/>
      <c r="H36" s="11"/>
      <c r="I36" s="5"/>
      <c r="J36" s="11"/>
      <c r="M36" s="34"/>
      <c r="N36" s="34"/>
      <c r="O36" s="34"/>
      <c r="P36" s="34"/>
      <c r="Q36" s="34"/>
      <c r="R36" s="35"/>
      <c r="S36" s="35"/>
      <c r="V36" s="4">
        <v>0.2</v>
      </c>
      <c r="W36" s="41">
        <f>V36*$W$15</f>
        <v>0.2</v>
      </c>
      <c r="X36" s="81">
        <f>($C$28/0.2)*$W$15*(0.2969*SQRT(W36/$W$15)-0.126*(W36/$W$15)-0.3516*(W36/$W$15)^2+0.2843*(W36/$W$15)^3-0.1015*(W36/$W$15)^4)</f>
        <v>5.7375429902362496E-2</v>
      </c>
      <c r="Y36" s="92"/>
      <c r="Z36" s="91">
        <f>2*(W36/$W$15)/$C$30-((W36/$W$15)/$C$30)^2</f>
        <v>0.75</v>
      </c>
      <c r="AA36" s="91">
        <f>(1-2*$C$30+2*$C$30*W36/$W$15-(W36/$W$15)^2)/(1-$C$30)^2</f>
        <v>0.88888888888888884</v>
      </c>
      <c r="AB36" s="82"/>
      <c r="AC36" s="81">
        <f>IF(W36&lt;$Z$15,Z36,AA36)*$C$29</f>
        <v>1.4999999999999999E-2</v>
      </c>
      <c r="AD36" s="82">
        <f>AC36/$W$15</f>
        <v>1.4999999999999999E-2</v>
      </c>
      <c r="AE36" s="82"/>
      <c r="AG36" s="28">
        <f>ATAN((AC36-AC35)/W36-W35)</f>
        <v>-0.17300308490423744</v>
      </c>
      <c r="AH36" s="28">
        <f>W36-X36*SIN(AG36)</f>
        <v>0.20987668547877777</v>
      </c>
      <c r="AI36" s="28">
        <f>AC36+X36*COS(AG36)</f>
        <v>7.1518944084565245E-2</v>
      </c>
      <c r="AJ36" s="28">
        <f>W36+X36*SIN(AG36)</f>
        <v>0.19012331452122225</v>
      </c>
      <c r="AK36" s="28">
        <f>AC36-X36*COS(AG36)</f>
        <v>-4.1518944084565246E-2</v>
      </c>
      <c r="AL36" s="28">
        <f>AH36/$W$15</f>
        <v>0.20987668547877777</v>
      </c>
      <c r="AM36" s="28">
        <f>AI36/$W$15</f>
        <v>7.1518944084565245E-2</v>
      </c>
      <c r="AN36" s="28">
        <f>AJ36/$W$15</f>
        <v>0.19012331452122225</v>
      </c>
      <c r="AO36" s="28">
        <f>AK36/$W$15</f>
        <v>-4.1518944084565246E-2</v>
      </c>
      <c r="AQ36" s="28">
        <f>AL55</f>
        <v>0.89084038628956208</v>
      </c>
      <c r="AR36" s="28">
        <f>AM55</f>
        <v>2.0215661602754755E-2</v>
      </c>
    </row>
    <row r="37" spans="1:44" s="28" customFormat="1" x14ac:dyDescent="0.2">
      <c r="A37" s="46"/>
      <c r="G37" s="11"/>
      <c r="H37" s="11"/>
      <c r="I37" s="11"/>
      <c r="J37" s="11"/>
      <c r="M37" s="34"/>
      <c r="N37" s="34"/>
      <c r="O37" s="34"/>
      <c r="P37" s="34"/>
      <c r="Q37" s="34"/>
      <c r="R37" s="35"/>
      <c r="S37" s="35"/>
      <c r="V37" s="41">
        <v>0.22</v>
      </c>
      <c r="W37" s="41">
        <f>V37*$W$15</f>
        <v>0.22</v>
      </c>
      <c r="X37" s="81">
        <f>($C$28/0.2)*$W$15*(0.2969*SQRT(W37/$W$15)-0.126*(W37/$W$15)-0.3516*(W37/$W$15)^2+0.2843*(W37/$W$15)^3-0.1015*(W37/$W$15)^4)</f>
        <v>5.8386276281494578E-2</v>
      </c>
      <c r="Y37" s="92"/>
      <c r="Z37" s="91">
        <f>2*(W37/$W$15)/$C$30-((W37/$W$15)/$C$30)^2</f>
        <v>0.79749999999999988</v>
      </c>
      <c r="AA37" s="91">
        <f>(1-2*$C$30+2*$C$30*W37/$W$15-(W37/$W$15)^2)/(1-$C$30)^2</f>
        <v>0.91</v>
      </c>
      <c r="AB37" s="82"/>
      <c r="AC37" s="81">
        <f>IF(W37&lt;$Z$15,Z37,AA37)*$C$29</f>
        <v>1.5949999999999999E-2</v>
      </c>
      <c r="AD37" s="82">
        <f>AC37/$W$15</f>
        <v>1.5949999999999999E-2</v>
      </c>
      <c r="AE37" s="82"/>
      <c r="AG37" s="28">
        <f>ATAN((AC37-AC36)/W37-W36)</f>
        <v>-0.19324003501863424</v>
      </c>
      <c r="AH37" s="28">
        <f>W37-X37*SIN(AG37)</f>
        <v>0.23121247867328495</v>
      </c>
      <c r="AI37" s="28">
        <f>AC37+X37*COS(AG37)</f>
        <v>7.3249542581247079E-2</v>
      </c>
      <c r="AJ37" s="28">
        <f>W37+X37*SIN(AG37)</f>
        <v>0.20878752132671505</v>
      </c>
      <c r="AK37" s="28">
        <f>AC37-X37*COS(AG37)</f>
        <v>-4.1349542581247074E-2</v>
      </c>
      <c r="AL37" s="28">
        <f>AH37/$W$15</f>
        <v>0.23121247867328495</v>
      </c>
      <c r="AM37" s="28">
        <f>AI37/$W$15</f>
        <v>7.3249542581247079E-2</v>
      </c>
      <c r="AN37" s="28">
        <f>AJ37/$W$15</f>
        <v>0.20878752132671505</v>
      </c>
      <c r="AO37" s="28">
        <f>AK37/$W$15</f>
        <v>-4.1349542581247074E-2</v>
      </c>
      <c r="AQ37" s="28">
        <f>AL57</f>
        <v>1.0008602429555136</v>
      </c>
      <c r="AR37" s="28">
        <f>AM57</f>
        <v>9.206421984079222E-4</v>
      </c>
    </row>
    <row r="38" spans="1:44" s="28" customFormat="1" x14ac:dyDescent="0.2">
      <c r="A38" s="46"/>
      <c r="G38" s="11"/>
      <c r="H38" s="11"/>
      <c r="I38" s="11"/>
      <c r="J38" s="11"/>
      <c r="M38" s="34"/>
      <c r="N38" s="34"/>
      <c r="O38" s="34"/>
      <c r="P38" s="34"/>
      <c r="Q38" s="34"/>
      <c r="R38" s="35"/>
      <c r="S38" s="35"/>
      <c r="V38" s="4">
        <v>0.24</v>
      </c>
      <c r="W38" s="41">
        <f>V38*$W$15</f>
        <v>0.24</v>
      </c>
      <c r="X38" s="81">
        <f>($C$28/0.2)*$W$15*(0.2969*SQRT(W38/$W$15)-0.126*(W38/$W$15)-0.3516*(W38/$W$15)^2+0.2843*(W38/$W$15)^3-0.1015*(W38/$W$15)^4)</f>
        <v>5.9131170891879067E-2</v>
      </c>
      <c r="Y38" s="92"/>
      <c r="Z38" s="91">
        <f>2*(W38/$W$15)/$C$30-((W38/$W$15)/$C$30)^2</f>
        <v>0.84</v>
      </c>
      <c r="AA38" s="91">
        <f>(1-2*$C$30+2*$C$30*W38/$W$15-(W38/$W$15)^2)/(1-$C$30)^2</f>
        <v>0.92888888888888888</v>
      </c>
      <c r="AB38" s="82"/>
      <c r="AC38" s="81">
        <f>IF(W38&lt;$Z$15,Z38,AA38)*$C$29</f>
        <v>1.6799999999999999E-2</v>
      </c>
      <c r="AD38" s="82">
        <f>AC38/$W$15</f>
        <v>1.6799999999999999E-2</v>
      </c>
      <c r="AE38" s="82"/>
      <c r="AG38" s="28">
        <f>ATAN((AC38-AC37)/W38-W37)</f>
        <v>-0.21316964179955089</v>
      </c>
      <c r="AH38" s="28">
        <f>W38-X38*SIN(AG38)</f>
        <v>0.2525097228184589</v>
      </c>
      <c r="AI38" s="28">
        <f>AC38+X38*COS(AG38)</f>
        <v>7.4592752193072917E-2</v>
      </c>
      <c r="AJ38" s="28">
        <f>W38+X38*SIN(AG38)</f>
        <v>0.22749027718154108</v>
      </c>
      <c r="AK38" s="28">
        <f>AC38-X38*COS(AG38)</f>
        <v>-4.0992752193072926E-2</v>
      </c>
      <c r="AL38" s="28">
        <f>AH38/$W$15</f>
        <v>0.2525097228184589</v>
      </c>
      <c r="AM38" s="28">
        <f>AI38/$W$15</f>
        <v>7.4592752193072917E-2</v>
      </c>
      <c r="AN38" s="28">
        <f>AJ38/$W$15</f>
        <v>0.22749027718154108</v>
      </c>
      <c r="AO38" s="28">
        <f>AK38/$W$15</f>
        <v>-4.0992752193072926E-2</v>
      </c>
      <c r="AQ38" s="28">
        <f>AN57</f>
        <v>0.99913975704448654</v>
      </c>
      <c r="AR38" s="28">
        <f>AO57</f>
        <v>-9.206421984079222E-4</v>
      </c>
    </row>
    <row r="39" spans="1:44" s="28" customFormat="1" x14ac:dyDescent="0.2">
      <c r="A39" s="46"/>
      <c r="G39" s="11"/>
      <c r="H39" s="11"/>
      <c r="I39" s="11"/>
      <c r="J39" s="11"/>
      <c r="M39" s="34"/>
      <c r="N39" s="34"/>
      <c r="O39" s="34"/>
      <c r="P39" s="34"/>
      <c r="Q39" s="34"/>
      <c r="R39" s="35"/>
      <c r="S39" s="35"/>
      <c r="V39" s="41">
        <v>0.26</v>
      </c>
      <c r="W39" s="41">
        <f>V39*$W$15</f>
        <v>0.26</v>
      </c>
      <c r="X39" s="81">
        <f>($C$28/0.2)*$W$15*(0.2969*SQRT(W39/$W$15)-0.126*(W39/$W$15)-0.3516*(W39/$W$15)^2+0.2843*(W39/$W$15)^3-0.1015*(W39/$W$15)^4)</f>
        <v>5.9636853311141859E-2</v>
      </c>
      <c r="Y39" s="92"/>
      <c r="Z39" s="91">
        <f>2*(W39/$W$15)/$C$30-((W39/$W$15)/$C$30)^2</f>
        <v>0.87749999999999995</v>
      </c>
      <c r="AA39" s="91">
        <f>(1-2*$C$30+2*$C$30*W39/$W$15-(W39/$W$15)^2)/(1-$C$30)^2</f>
        <v>0.94555555555555548</v>
      </c>
      <c r="AB39" s="82"/>
      <c r="AC39" s="81">
        <f>IF(W39&lt;$Z$15,Z39,AA39)*$C$29</f>
        <v>1.755E-2</v>
      </c>
      <c r="AD39" s="82">
        <f>AC39/$W$15</f>
        <v>1.755E-2</v>
      </c>
      <c r="AE39" s="82"/>
      <c r="AG39" s="28">
        <f>ATAN((AC39-AC38)/W39-W38)</f>
        <v>-0.23281569012805162</v>
      </c>
      <c r="AH39" s="28">
        <f>W39-X39*SIN(AG39)</f>
        <v>0.27375930500772799</v>
      </c>
      <c r="AI39" s="28">
        <f>AC39+X39*COS(AG39)</f>
        <v>7.5577888110450506E-2</v>
      </c>
      <c r="AJ39" s="28">
        <f>W39+X39*SIN(AG39)</f>
        <v>0.24624069499227202</v>
      </c>
      <c r="AK39" s="28">
        <f>AC39-X39*COS(AG39)</f>
        <v>-4.0477888110450513E-2</v>
      </c>
      <c r="AL39" s="28">
        <f>AH39/$W$15</f>
        <v>0.27375930500772799</v>
      </c>
      <c r="AM39" s="28">
        <f>AI39/$W$15</f>
        <v>7.5577888110450506E-2</v>
      </c>
      <c r="AN39" s="28">
        <f>AJ39/$W$15</f>
        <v>0.24624069499227202</v>
      </c>
      <c r="AO39" s="28">
        <f>AK39/$W$15</f>
        <v>-4.0477888110450513E-2</v>
      </c>
      <c r="AQ39" s="28">
        <f>AN55</f>
        <v>0.86915961371043793</v>
      </c>
      <c r="AR39" s="28">
        <f>AO55</f>
        <v>-5.8156616027547486E-3</v>
      </c>
    </row>
    <row r="40" spans="1:44" s="28" customFormat="1" x14ac:dyDescent="0.2">
      <c r="A40" s="46"/>
      <c r="H40" s="11"/>
      <c r="I40" s="11"/>
      <c r="J40" s="11"/>
      <c r="M40" s="34"/>
      <c r="N40" s="34"/>
      <c r="O40" s="34"/>
      <c r="P40" s="34"/>
      <c r="Q40" s="34"/>
      <c r="R40" s="35"/>
      <c r="S40" s="35"/>
      <c r="V40" s="4">
        <v>0.28000000000000003</v>
      </c>
      <c r="W40" s="41">
        <f>V40*$W$15</f>
        <v>0.28000000000000003</v>
      </c>
      <c r="X40" s="81">
        <f>($C$28/0.2)*$W$15*(0.2969*SQRT(W40/$W$15)-0.126*(W40/$W$15)-0.3516*(W40/$W$15)^2+0.2843*(W40/$W$15)^3-0.1015*(W40/$W$15)^4)</f>
        <v>5.9925810366609232E-2</v>
      </c>
      <c r="Y40" s="92"/>
      <c r="Z40" s="91">
        <f>2*(W40/$W$15)/$C$30-((W40/$W$15)/$C$30)^2</f>
        <v>0.91</v>
      </c>
      <c r="AA40" s="91">
        <f>(1-2*$C$30+2*$C$30*W40/$W$15-(W40/$W$15)^2)/(1-$C$30)^2</f>
        <v>0.96</v>
      </c>
      <c r="AB40" s="82"/>
      <c r="AC40" s="81">
        <f>IF(W40&lt;$Z$15,Z40,AA40)*$C$29</f>
        <v>1.8200000000000001E-2</v>
      </c>
      <c r="AD40" s="82">
        <f>AC40/$W$15</f>
        <v>1.8200000000000001E-2</v>
      </c>
      <c r="AE40" s="82"/>
      <c r="AG40" s="28">
        <f>ATAN((AC40-AC39)/W40-W39)</f>
        <v>-0.25219239531163729</v>
      </c>
      <c r="AH40" s="28">
        <f>W40-X40*SIN(AG40)</f>
        <v>0.29495314375977688</v>
      </c>
      <c r="AI40" s="28">
        <f>AC40+X40*COS(AG40)</f>
        <v>7.6230218333160321E-2</v>
      </c>
      <c r="AJ40" s="28">
        <f>W40+X40*SIN(AG40)</f>
        <v>0.26504685624022317</v>
      </c>
      <c r="AK40" s="28">
        <f>AC40-X40*COS(AG40)</f>
        <v>-3.9830218333160326E-2</v>
      </c>
      <c r="AL40" s="28">
        <f>AH40/$W$15</f>
        <v>0.29495314375977688</v>
      </c>
      <c r="AM40" s="28">
        <f>AI40/$W$15</f>
        <v>7.6230218333160321E-2</v>
      </c>
      <c r="AN40" s="28">
        <f>AJ40/$W$15</f>
        <v>0.26504685624022317</v>
      </c>
      <c r="AO40" s="28">
        <f>AK40/$W$15</f>
        <v>-3.9830218333160326E-2</v>
      </c>
      <c r="AQ40" s="28">
        <f>AN53</f>
        <v>0.7632055438724854</v>
      </c>
      <c r="AR40" s="28">
        <f>AO53</f>
        <v>-1.0948915662993993E-2</v>
      </c>
    </row>
    <row r="41" spans="1:44" s="28" customFormat="1" x14ac:dyDescent="0.2">
      <c r="A41" s="46"/>
      <c r="M41" s="34"/>
      <c r="N41" s="34"/>
      <c r="O41" s="34"/>
      <c r="P41" s="34"/>
      <c r="Q41" s="34"/>
      <c r="R41" s="35"/>
      <c r="S41" s="35"/>
      <c r="V41" s="41">
        <v>0.3</v>
      </c>
      <c r="W41" s="41">
        <f>V41*$W$15</f>
        <v>0.3</v>
      </c>
      <c r="X41" s="81">
        <f>($C$28/0.2)*$W$15*(0.2969*SQRT(W41/$W$15)-0.126*(W41/$W$15)-0.3516*(W41/$W$15)^2+0.2843*(W41/$W$15)^3-0.1015*(W41/$W$15)^4)</f>
        <v>6.0017266393970287E-2</v>
      </c>
      <c r="Y41" s="92"/>
      <c r="Z41" s="91">
        <f>2*(W41/$W$15)/$C$30-((W41/$W$15)/$C$30)^2</f>
        <v>0.9375</v>
      </c>
      <c r="AA41" s="91">
        <f>(1-2*$C$30+2*$C$30*W41/$W$15-(W41/$W$15)^2)/(1-$C$30)^2</f>
        <v>0.97222222222222221</v>
      </c>
      <c r="AB41" s="82"/>
      <c r="AC41" s="81">
        <f>IF(W41&lt;$Z$15,Z41,AA41)*$C$29</f>
        <v>1.8749999999999999E-2</v>
      </c>
      <c r="AD41" s="82">
        <f>AC41/$W$15</f>
        <v>1.8749999999999999E-2</v>
      </c>
      <c r="AE41" s="82"/>
      <c r="AG41" s="28">
        <f>ATAN((AC41-AC40)/W41-W40)</f>
        <v>-0.27130784563839522</v>
      </c>
      <c r="AH41" s="28">
        <f>W41-X41*SIN(AG41)</f>
        <v>0.31608412755634585</v>
      </c>
      <c r="AI41" s="28">
        <f>AC41+X41*COS(AG41)</f>
        <v>7.6571908530901928E-2</v>
      </c>
      <c r="AJ41" s="28">
        <f>W41+X41*SIN(AG41)</f>
        <v>0.28391587244365413</v>
      </c>
      <c r="AK41" s="28">
        <f>AC41-X41*COS(AG41)</f>
        <v>-3.9071908530901936E-2</v>
      </c>
      <c r="AL41" s="28">
        <f>AH41/$W$15</f>
        <v>0.31608412755634585</v>
      </c>
      <c r="AM41" s="28">
        <f>AI41/$W$15</f>
        <v>7.6571908530901928E-2</v>
      </c>
      <c r="AN41" s="28">
        <f>AJ41/$W$15</f>
        <v>0.28391587244365413</v>
      </c>
      <c r="AO41" s="28">
        <f>AK41/$W$15</f>
        <v>-3.9071908530901936E-2</v>
      </c>
      <c r="AQ41" s="28">
        <f>AN51</f>
        <v>0.65939926603217192</v>
      </c>
      <c r="AR41" s="28">
        <f>AO51</f>
        <v>-1.6947356163853206E-2</v>
      </c>
    </row>
    <row r="42" spans="1:44" s="28" customFormat="1" x14ac:dyDescent="0.2">
      <c r="A42" s="46"/>
      <c r="M42" s="34"/>
      <c r="N42" s="34"/>
      <c r="O42" s="34"/>
      <c r="P42" s="34"/>
      <c r="Q42" s="34"/>
      <c r="R42" s="35"/>
      <c r="S42" s="35"/>
      <c r="V42" s="4">
        <v>0.32</v>
      </c>
      <c r="W42" s="41">
        <f>V42*$W$15</f>
        <v>0.32</v>
      </c>
      <c r="X42" s="81">
        <f>($C$28/0.2)*$W$15*(0.2969*SQRT(W42/$W$15)-0.126*(W42/$W$15)-0.3516*(W42/$W$15)^2+0.2843*(W42/$W$15)^3-0.1015*(W42/$W$15)^4)</f>
        <v>5.9927880256457254E-2</v>
      </c>
      <c r="Y42" s="92"/>
      <c r="Z42" s="91">
        <f>2*(W42/$W$15)/$C$30-((W42/$W$15)/$C$30)^2</f>
        <v>0.96</v>
      </c>
      <c r="AA42" s="91">
        <f>(1-2*$C$30+2*$C$30*W42/$W$15-(W42/$W$15)^2)/(1-$C$30)^2</f>
        <v>0.98222222222222222</v>
      </c>
      <c r="AB42" s="82"/>
      <c r="AC42" s="81">
        <f>IF(W42&lt;$Z$15,Z42,AA42)*$C$29</f>
        <v>1.9199999999999998E-2</v>
      </c>
      <c r="AD42" s="82">
        <f>AC42/$W$15</f>
        <v>1.9199999999999998E-2</v>
      </c>
      <c r="AE42" s="82"/>
      <c r="AG42" s="28">
        <f>ATAN((AC42-AC41)/W42-W41)</f>
        <v>-0.29016615804995316</v>
      </c>
      <c r="AH42" s="28">
        <f>W42-X42*SIN(AG42)</f>
        <v>0.33714605218167282</v>
      </c>
      <c r="AI42" s="28">
        <f>AC42+X42*COS(AG42)</f>
        <v>7.6622676066303561E-2</v>
      </c>
      <c r="AJ42" s="28">
        <f>W42+X42*SIN(AG42)</f>
        <v>0.3028539478183272</v>
      </c>
      <c r="AK42" s="28">
        <f>AC42-X42*COS(AG42)</f>
        <v>-3.8222676066303557E-2</v>
      </c>
      <c r="AL42" s="28">
        <f>AH42/$W$15</f>
        <v>0.33714605218167282</v>
      </c>
      <c r="AM42" s="28">
        <f>AI42/$W$15</f>
        <v>7.6622676066303561E-2</v>
      </c>
      <c r="AN42" s="28">
        <f>AJ42/$W$15</f>
        <v>0.3028539478183272</v>
      </c>
      <c r="AO42" s="28">
        <f>AK42/$W$15</f>
        <v>-3.8222676066303557E-2</v>
      </c>
      <c r="AQ42" s="28">
        <f>AN49</f>
        <v>0.5578281132875158</v>
      </c>
      <c r="AR42" s="28">
        <f>AO49</f>
        <v>-2.3516888150077329E-2</v>
      </c>
    </row>
    <row r="43" spans="1:44" s="28" customFormat="1" x14ac:dyDescent="0.2">
      <c r="A43" s="46"/>
      <c r="H43" s="11"/>
      <c r="I43" s="11"/>
      <c r="J43" s="11"/>
      <c r="M43" s="34"/>
      <c r="N43" s="34"/>
      <c r="O43" s="34"/>
      <c r="P43" s="34"/>
      <c r="Q43" s="34"/>
      <c r="R43" s="35"/>
      <c r="S43" s="35"/>
      <c r="V43" s="41">
        <v>0.34</v>
      </c>
      <c r="W43" s="41">
        <f>V43*$W$15</f>
        <v>0.34</v>
      </c>
      <c r="X43" s="81">
        <f>($C$28/0.2)*$W$15*(0.2969*SQRT(W43/$W$15)-0.126*(W43/$W$15)-0.3516*(W43/$W$15)^2+0.2843*(W43/$W$15)^3-0.1015*(W43/$W$15)^4)</f>
        <v>5.9672248750774197E-2</v>
      </c>
      <c r="Y43" s="92"/>
      <c r="Z43" s="91">
        <f>2*(W43/$W$15)/$C$30-((W43/$W$15)/$C$30)^2</f>
        <v>0.97750000000000004</v>
      </c>
      <c r="AA43" s="91">
        <f>(1-2*$C$30+2*$C$30*W43/$W$15-(W43/$W$15)^2)/(1-$C$30)^2</f>
        <v>0.98999999999999988</v>
      </c>
      <c r="AB43" s="82"/>
      <c r="AC43" s="81">
        <f>IF(W43&lt;$Z$15,Z43,AA43)*$C$29</f>
        <v>1.9550000000000001E-2</v>
      </c>
      <c r="AD43" s="82">
        <f>AC43/$W$15</f>
        <v>1.9550000000000001E-2</v>
      </c>
      <c r="AE43" s="82"/>
      <c r="AG43" s="28">
        <f>ATAN((AC43-AC42)/W43-W42)</f>
        <v>-0.30876887418769672</v>
      </c>
      <c r="AH43" s="28">
        <f>W43-X43*SIN(AG43)</f>
        <v>0.35813355878290315</v>
      </c>
      <c r="AI43" s="28">
        <f>AC43+X43*COS(AG43)</f>
        <v>7.6400253445708305E-2</v>
      </c>
      <c r="AJ43" s="28">
        <f>W43+X43*SIN(AG43)</f>
        <v>0.3218664412170969</v>
      </c>
      <c r="AK43" s="28">
        <f>AC43-X43*COS(AG43)</f>
        <v>-3.7300253445708309E-2</v>
      </c>
      <c r="AL43" s="28">
        <f>AH43/$W$15</f>
        <v>0.35813355878290315</v>
      </c>
      <c r="AM43" s="28">
        <f>AI43/$W$15</f>
        <v>7.6400253445708305E-2</v>
      </c>
      <c r="AN43" s="28">
        <f>AJ43/$W$15</f>
        <v>0.3218664412170969</v>
      </c>
      <c r="AO43" s="28">
        <f>AK43/$W$15</f>
        <v>-3.7300253445708309E-2</v>
      </c>
      <c r="AQ43" s="28">
        <f>AN47</f>
        <v>0.45857945145407863</v>
      </c>
      <c r="AR43" s="28">
        <f>AO47</f>
        <v>-3.0097147040158083E-2</v>
      </c>
    </row>
    <row r="44" spans="1:44" s="28" customFormat="1" x14ac:dyDescent="0.2">
      <c r="A44" s="46"/>
      <c r="I44" s="11"/>
      <c r="J44" s="11"/>
      <c r="M44" s="34"/>
      <c r="N44" s="34"/>
      <c r="O44" s="34"/>
      <c r="P44" s="34"/>
      <c r="Q44" s="34"/>
      <c r="R44" s="35"/>
      <c r="S44" s="35"/>
      <c r="V44" s="4">
        <v>0.36</v>
      </c>
      <c r="W44" s="41">
        <f>V44*$W$15</f>
        <v>0.36</v>
      </c>
      <c r="X44" s="81">
        <f>($C$28/0.2)*$W$15*(0.2969*SQRT(W44/$W$15)-0.126*(W44/$W$15)-0.3516*(W44/$W$15)^2+0.2843*(W44/$W$15)^3-0.1015*(W44/$W$15)^4)</f>
        <v>5.9263278336000008E-2</v>
      </c>
      <c r="Y44" s="92"/>
      <c r="Z44" s="91">
        <f>2*(W44/$W$15)/$C$30-((W44/$W$15)/$C$30)^2</f>
        <v>0.99</v>
      </c>
      <c r="AA44" s="91">
        <f>(1-2*$C$30+2*$C$30*W44/$W$15-(W44/$W$15)^2)/(1-$C$30)^2</f>
        <v>0.99555555555555542</v>
      </c>
      <c r="AB44" s="82"/>
      <c r="AC44" s="81">
        <f>IF(W44&lt;$Z$15,Z44,AA44)*$C$29</f>
        <v>1.9800000000000002E-2</v>
      </c>
      <c r="AD44" s="82">
        <f>AC44/$W$15</f>
        <v>1.9800000000000002E-2</v>
      </c>
      <c r="AE44" s="82"/>
      <c r="AG44" s="28">
        <f>ATAN((AC44-AC43)/W44-W43)</f>
        <v>-0.32711588992732199</v>
      </c>
      <c r="AH44" s="28">
        <f>W44-X44*SIN(AG44)</f>
        <v>0.37904207326188782</v>
      </c>
      <c r="AI44" s="28">
        <f>AC44+X44*COS(AG44)</f>
        <v>7.5920723489804581E-2</v>
      </c>
      <c r="AJ44" s="28">
        <f>W44+X44*SIN(AG44)</f>
        <v>0.34095792673811215</v>
      </c>
      <c r="AK44" s="28">
        <f>AC44-X44*COS(AG44)</f>
        <v>-3.6320723489804571E-2</v>
      </c>
      <c r="AL44" s="28">
        <f>AH44/$W$15</f>
        <v>0.37904207326188782</v>
      </c>
      <c r="AM44" s="28">
        <f>AI44/$W$15</f>
        <v>7.5920723489804581E-2</v>
      </c>
      <c r="AN44" s="28">
        <f>AJ44/$W$15</f>
        <v>0.34095792673811215</v>
      </c>
      <c r="AO44" s="28">
        <f>AK44/$W$15</f>
        <v>-3.6320723489804571E-2</v>
      </c>
      <c r="AQ44" s="28">
        <f>AN45</f>
        <v>0.36013225288339568</v>
      </c>
      <c r="AR44" s="28">
        <f>AO45</f>
        <v>-3.5298766222536734E-2</v>
      </c>
    </row>
    <row r="45" spans="1:44" s="28" customFormat="1" x14ac:dyDescent="0.2">
      <c r="A45" s="46"/>
      <c r="M45" s="34"/>
      <c r="N45" s="34"/>
      <c r="O45" s="34"/>
      <c r="P45" s="34"/>
      <c r="Q45" s="34"/>
      <c r="R45" s="35"/>
      <c r="S45" s="35"/>
      <c r="V45" s="41">
        <v>0.38</v>
      </c>
      <c r="W45" s="41">
        <f>V45*$W$15</f>
        <v>0.38</v>
      </c>
      <c r="X45" s="81">
        <f>($C$28/0.2)*$W$15*(0.2969*SQRT(W45/$W$15)-0.126*(W45/$W$15)-0.3516*(W45/$W$15)^2+0.2843*(W45/$W$15)^3-0.1015*(W45/$W$15)^4)</f>
        <v>5.8712464984889329E-2</v>
      </c>
      <c r="Y45" s="92"/>
      <c r="Z45" s="91">
        <f>2*(W45/$W$15)/$C$30-((W45/$W$15)/$C$30)^2</f>
        <v>0.99749999999999994</v>
      </c>
      <c r="AA45" s="91">
        <f>(1-2*$C$30+2*$C$30*W45/$W$15-(W45/$W$15)^2)/(1-$C$30)^2</f>
        <v>0.99888888888888905</v>
      </c>
      <c r="AB45" s="82"/>
      <c r="AC45" s="81">
        <f>IF(W45&lt;$Z$15,Z45,AA45)*$C$29</f>
        <v>1.9949999999999999E-2</v>
      </c>
      <c r="AD45" s="82">
        <f>AC45/$W$15</f>
        <v>1.9949999999999999E-2</v>
      </c>
      <c r="AE45" s="82"/>
      <c r="AG45" s="28">
        <f>ATAN((AC45-AC44)/W45-W44)</f>
        <v>-0.34520608829176219</v>
      </c>
      <c r="AH45" s="28">
        <f>W45-X45*SIN(AG45)</f>
        <v>0.39986774711660433</v>
      </c>
      <c r="AI45" s="28">
        <f>AC45+X45*COS(AG45)</f>
        <v>7.5198766222536739E-2</v>
      </c>
      <c r="AJ45" s="28">
        <f>W45+X45*SIN(AG45)</f>
        <v>0.36013225288339568</v>
      </c>
      <c r="AK45" s="28">
        <f>AC45-X45*COS(AG45)</f>
        <v>-3.5298766222536734E-2</v>
      </c>
      <c r="AL45" s="28">
        <f>AH45/$W$15</f>
        <v>0.39986774711660433</v>
      </c>
      <c r="AM45" s="28">
        <f>AI45/$W$15</f>
        <v>7.5198766222536739E-2</v>
      </c>
      <c r="AN45" s="28">
        <f>AJ45/$W$15</f>
        <v>0.36013225288339568</v>
      </c>
      <c r="AO45" s="28">
        <f>AK45/$W$15</f>
        <v>-3.5298766222536734E-2</v>
      </c>
      <c r="AQ45" s="28">
        <f>AN43</f>
        <v>0.3218664412170969</v>
      </c>
      <c r="AR45" s="28">
        <f>AO43</f>
        <v>-3.7300253445708309E-2</v>
      </c>
    </row>
    <row r="46" spans="1:44" s="28" customFormat="1" x14ac:dyDescent="0.2">
      <c r="A46" s="46"/>
      <c r="H46" s="11"/>
      <c r="M46" s="34"/>
      <c r="N46" s="34"/>
      <c r="O46" s="34"/>
      <c r="P46" s="34"/>
      <c r="Q46" s="34"/>
      <c r="R46" s="35"/>
      <c r="S46" s="35"/>
      <c r="V46" s="4">
        <v>0.43</v>
      </c>
      <c r="W46" s="41">
        <f>V46*$W$15</f>
        <v>0.43</v>
      </c>
      <c r="X46" s="81">
        <f>($C$28/0.2)*$W$15*(0.2969*SQRT(W46/$W$15)-0.126*(W46/$W$15)-0.3516*(W46/$W$15)^2+0.2843*(W46/$W$15)^3-0.1015*(W46/$W$15)^4)</f>
        <v>5.6779960122915821E-2</v>
      </c>
      <c r="Y46" s="92"/>
      <c r="Z46" s="91">
        <f>2*(W46/$W$15)/$C$30-((W46/$W$15)/$C$30)^2</f>
        <v>0.99437500000000001</v>
      </c>
      <c r="AA46" s="91">
        <f>(1-2*$C$30+2*$C$30*W46/$W$15-(W46/$W$15)^2)/(1-$C$30)^2</f>
        <v>0.99750000000000028</v>
      </c>
      <c r="AB46" s="82"/>
      <c r="AC46" s="81">
        <f>IF(W46&lt;$Z$15,Z46,AA46)*$C$29</f>
        <v>1.9950000000000006E-2</v>
      </c>
      <c r="AD46" s="82">
        <f>AC46/$W$15</f>
        <v>1.9950000000000006E-2</v>
      </c>
      <c r="AE46" s="82"/>
      <c r="AG46" s="28">
        <f>ATAN((AC46-AC45)/W46-W45)</f>
        <v>-0.36314700994617627</v>
      </c>
      <c r="AH46" s="28">
        <f>W46-X46*SIN(AG46)</f>
        <v>0.45016925028315791</v>
      </c>
      <c r="AI46" s="28">
        <f>AC46+X46*COS(AG46)</f>
        <v>7.3026974429362929E-2</v>
      </c>
      <c r="AJ46" s="28">
        <f>W46+X46*SIN(AG46)</f>
        <v>0.40983074971684208</v>
      </c>
      <c r="AK46" s="28">
        <f>AC46-X46*COS(AG46)</f>
        <v>-3.3126974429362924E-2</v>
      </c>
      <c r="AL46" s="28">
        <f>AH46/$W$15</f>
        <v>0.45016925028315791</v>
      </c>
      <c r="AM46" s="28">
        <f>AI46/$W$15</f>
        <v>7.3026974429362929E-2</v>
      </c>
      <c r="AN46" s="28">
        <f>AJ46/$W$15</f>
        <v>0.40983074971684208</v>
      </c>
      <c r="AO46" s="28">
        <f>AK46/$W$15</f>
        <v>-3.3126974429362924E-2</v>
      </c>
      <c r="AQ46" s="28">
        <f>AN41</f>
        <v>0.28391587244365413</v>
      </c>
      <c r="AR46" s="28">
        <f>AO41</f>
        <v>-3.9071908530901936E-2</v>
      </c>
    </row>
    <row r="47" spans="1:44" s="28" customFormat="1" x14ac:dyDescent="0.2">
      <c r="A47" s="46"/>
      <c r="I47" s="11"/>
      <c r="J47" s="11"/>
      <c r="M47" s="34"/>
      <c r="N47" s="34"/>
      <c r="O47" s="34"/>
      <c r="P47" s="34"/>
      <c r="Q47" s="34"/>
      <c r="R47" s="35"/>
      <c r="S47" s="35"/>
      <c r="V47" s="41">
        <v>0.48</v>
      </c>
      <c r="W47" s="41">
        <f>V47*$W$15</f>
        <v>0.48</v>
      </c>
      <c r="X47" s="81">
        <f>($C$28/0.2)*$W$15*(0.2969*SQRT(W47/$W$15)-0.126*(W47/$W$15)-0.3516*(W47/$W$15)^2+0.2843*(W47/$W$15)^3-0.1015*(W47/$W$15)^4)</f>
        <v>5.4157786360127913E-2</v>
      </c>
      <c r="Y47" s="92"/>
      <c r="Z47" s="91">
        <f>2*(W47/$W$15)/$C$30-((W47/$W$15)/$C$30)^2</f>
        <v>0.96</v>
      </c>
      <c r="AA47" s="91">
        <f>(1-2*$C$30+2*$C$30*W47/$W$15-(W47/$W$15)^2)/(1-$C$30)^2</f>
        <v>0.98222222222222222</v>
      </c>
      <c r="AB47" s="82"/>
      <c r="AC47" s="81">
        <f>IF(W47&lt;$Z$15,Z47,AA47)*$C$29</f>
        <v>1.9644444444444444E-2</v>
      </c>
      <c r="AD47" s="82">
        <f>AC47/$W$15</f>
        <v>1.9644444444444444E-2</v>
      </c>
      <c r="AE47" s="82"/>
      <c r="AG47" s="28">
        <f>ATAN((AC47-AC46)/W47-W46)</f>
        <v>-0.40663517283377143</v>
      </c>
      <c r="AH47" s="28">
        <f>W47-X47*SIN(AG47)</f>
        <v>0.50142054854592133</v>
      </c>
      <c r="AI47" s="28">
        <f>AC47+X47*COS(AG47)</f>
        <v>6.9386035929046963E-2</v>
      </c>
      <c r="AJ47" s="28">
        <f>W47+X47*SIN(AG47)</f>
        <v>0.45857945145407863</v>
      </c>
      <c r="AK47" s="28">
        <f>AC47-X47*COS(AG47)</f>
        <v>-3.0097147040158083E-2</v>
      </c>
      <c r="AL47" s="28">
        <f>AH47/$W$15</f>
        <v>0.50142054854592133</v>
      </c>
      <c r="AM47" s="28">
        <f>AI47/$W$15</f>
        <v>6.9386035929046963E-2</v>
      </c>
      <c r="AN47" s="28">
        <f>AJ47/$W$15</f>
        <v>0.45857945145407863</v>
      </c>
      <c r="AO47" s="28">
        <f>AK47/$W$15</f>
        <v>-3.0097147040158083E-2</v>
      </c>
      <c r="AQ47" s="28">
        <f>AN39</f>
        <v>0.24624069499227202</v>
      </c>
      <c r="AR47" s="28">
        <f>AO39</f>
        <v>-4.0477888110450513E-2</v>
      </c>
    </row>
    <row r="48" spans="1:44" s="28" customFormat="1" x14ac:dyDescent="0.2">
      <c r="A48" s="46"/>
      <c r="I48" s="11"/>
      <c r="J48" s="11"/>
      <c r="M48" s="34"/>
      <c r="N48" s="34"/>
      <c r="O48" s="34"/>
      <c r="P48" s="34"/>
      <c r="Q48" s="34"/>
      <c r="R48" s="35"/>
      <c r="S48" s="35"/>
      <c r="V48" s="4">
        <v>0.53</v>
      </c>
      <c r="W48" s="41">
        <f>V48*$W$15</f>
        <v>0.53</v>
      </c>
      <c r="X48" s="81">
        <f>($C$28/0.2)*$W$15*(0.2969*SQRT(W48/$W$15)-0.126*(W48/$W$15)-0.3516*(W48/$W$15)^2+0.2843*(W48/$W$15)^3-0.1015*(W48/$W$15)^4)</f>
        <v>5.0951349298643131E-2</v>
      </c>
      <c r="Y48" s="92"/>
      <c r="Z48" s="91">
        <f>2*(W48/$W$15)/$C$30-((W48/$W$15)/$C$30)^2</f>
        <v>0.89437499999999992</v>
      </c>
      <c r="AA48" s="91">
        <f>(1-2*$C$30+2*$C$30*W48/$W$15-(W48/$W$15)^2)/(1-$C$30)^2</f>
        <v>0.95305555555555543</v>
      </c>
      <c r="AB48" s="82"/>
      <c r="AC48" s="81">
        <f>IF(W48&lt;$Z$15,Z48,AA48)*$C$29</f>
        <v>1.9061111111111109E-2</v>
      </c>
      <c r="AD48" s="82">
        <f>AC48/$W$15</f>
        <v>1.9061111111111109E-2</v>
      </c>
      <c r="AE48" s="82"/>
      <c r="AG48" s="28">
        <f>ATAN((AC48-AC47)/W48-W47)</f>
        <v>-0.44841412036108996</v>
      </c>
      <c r="AH48" s="28">
        <f>W48-X48*SIN(AG48)</f>
        <v>0.55208929445913624</v>
      </c>
      <c r="AI48" s="28">
        <f>AC48+X48*COS(AG48)</f>
        <v>6.4975194632944738E-2</v>
      </c>
      <c r="AJ48" s="28">
        <f>W48+X48*SIN(AG48)</f>
        <v>0.50791070554086382</v>
      </c>
      <c r="AK48" s="28">
        <f>AC48-X48*COS(AG48)</f>
        <v>-2.6852972410722518E-2</v>
      </c>
      <c r="AL48" s="28">
        <f>AH48/$W$15</f>
        <v>0.55208929445913624</v>
      </c>
      <c r="AM48" s="28">
        <f>AI48/$W$15</f>
        <v>6.4975194632944738E-2</v>
      </c>
      <c r="AN48" s="28">
        <f>AJ48/$W$15</f>
        <v>0.50791070554086382</v>
      </c>
      <c r="AO48" s="28">
        <f>AK48/$W$15</f>
        <v>-2.6852972410722518E-2</v>
      </c>
      <c r="AQ48" s="28">
        <f>AN37</f>
        <v>0.20878752132671505</v>
      </c>
      <c r="AR48" s="28">
        <f>AO37</f>
        <v>-4.1349542581247074E-2</v>
      </c>
    </row>
    <row r="49" spans="1:171" s="28" customFormat="1" x14ac:dyDescent="0.2">
      <c r="A49" s="46"/>
      <c r="B49" s="11"/>
      <c r="C49" s="11"/>
      <c r="H49" s="11"/>
      <c r="M49" s="34"/>
      <c r="N49" s="34"/>
      <c r="O49" s="34"/>
      <c r="P49" s="34"/>
      <c r="Q49" s="34"/>
      <c r="R49" s="35"/>
      <c r="S49" s="35"/>
      <c r="V49" s="41">
        <v>0.57999999999999996</v>
      </c>
      <c r="W49" s="41">
        <f>V49*$W$15</f>
        <v>0.57999999999999996</v>
      </c>
      <c r="X49" s="81">
        <f>($C$28/0.2)*$W$15*(0.2969*SQRT(W49/$W$15)-0.126*(W49/$W$15)-0.3516*(W49/$W$15)^2+0.2843*(W49/$W$15)^3-0.1015*(W49/$W$15)^4)</f>
        <v>4.7242897003859655E-2</v>
      </c>
      <c r="Y49" s="92"/>
      <c r="Z49" s="91">
        <f>2*(W49/$W$15)/$C$30-((W49/$W$15)/$C$30)^2</f>
        <v>0.79750000000000032</v>
      </c>
      <c r="AA49" s="91">
        <f>(1-2*$C$30+2*$C$30*W49/$W$15-(W49/$W$15)^2)/(1-$C$30)^2</f>
        <v>0.90999999999999992</v>
      </c>
      <c r="AB49" s="82"/>
      <c r="AC49" s="81">
        <f>IF(W49&lt;$Z$15,Z49,AA49)*$C$29</f>
        <v>1.8199999999999997E-2</v>
      </c>
      <c r="AD49" s="82">
        <f>AC49/$W$15</f>
        <v>1.8199999999999997E-2</v>
      </c>
      <c r="AE49" s="82"/>
      <c r="AG49" s="28">
        <f>ATAN((AC49-AC48)/W49-W48)</f>
        <v>-0.48851695421560221</v>
      </c>
      <c r="AH49" s="28">
        <f>W49-X49*SIN(AG49)</f>
        <v>0.60217188671248412</v>
      </c>
      <c r="AI49" s="28">
        <f>AC49+X49*COS(AG49)</f>
        <v>5.9916888150077327E-2</v>
      </c>
      <c r="AJ49" s="28">
        <f>W49+X49*SIN(AG49)</f>
        <v>0.5578281132875158</v>
      </c>
      <c r="AK49" s="28">
        <f>AC49-X49*COS(AG49)</f>
        <v>-2.3516888150077329E-2</v>
      </c>
      <c r="AL49" s="28">
        <f>AH49/$W$15</f>
        <v>0.60217188671248412</v>
      </c>
      <c r="AM49" s="28">
        <f>AI49/$W$15</f>
        <v>5.9916888150077327E-2</v>
      </c>
      <c r="AN49" s="28">
        <f>AJ49/$W$15</f>
        <v>0.5578281132875158</v>
      </c>
      <c r="AO49" s="28">
        <f>AK49/$W$15</f>
        <v>-2.3516888150077329E-2</v>
      </c>
      <c r="AQ49" s="28">
        <f>AN35</f>
        <v>0.17112801817374626</v>
      </c>
      <c r="AR49" s="28">
        <f>AO35</f>
        <v>-4.1409782601258216E-2</v>
      </c>
    </row>
    <row r="50" spans="1:171" s="28" customFormat="1" x14ac:dyDescent="0.2">
      <c r="A50" s="46"/>
      <c r="B50" s="11"/>
      <c r="F50" s="11"/>
      <c r="G50" s="11"/>
      <c r="H50" s="11"/>
      <c r="M50" s="34"/>
      <c r="N50" s="34"/>
      <c r="O50" s="34"/>
      <c r="P50" s="34"/>
      <c r="Q50" s="34"/>
      <c r="R50" s="35"/>
      <c r="S50" s="35"/>
      <c r="V50" s="4">
        <v>0.63</v>
      </c>
      <c r="W50" s="41">
        <f>V50*$W$15</f>
        <v>0.63</v>
      </c>
      <c r="X50" s="81">
        <f>($C$28/0.2)*$W$15*(0.2969*SQRT(W50/$W$15)-0.126*(W50/$W$15)-0.3516*(W50/$W$15)^2+0.2843*(W50/$W$15)^3-0.1015*(W50/$W$15)^4)</f>
        <v>4.309568157691384E-2</v>
      </c>
      <c r="Y50" s="92"/>
      <c r="Z50" s="91">
        <f>2*(W50/$W$15)/$C$30-((W50/$W$15)/$C$30)^2</f>
        <v>0.66937500000000005</v>
      </c>
      <c r="AA50" s="91">
        <f>(1-2*$C$30+2*$C$30*W50/$W$15-(W50/$W$15)^2)/(1-$C$30)^2</f>
        <v>0.85305555555555534</v>
      </c>
      <c r="AB50" s="82"/>
      <c r="AC50" s="81">
        <f>IF(W50&lt;$Z$15,Z50,AA50)*$C$29</f>
        <v>1.7061111111111107E-2</v>
      </c>
      <c r="AD50" s="82">
        <f>AC50/$W$15</f>
        <v>1.7061111111111107E-2</v>
      </c>
      <c r="AE50" s="82"/>
      <c r="AG50" s="28">
        <f>ATAN((AC50-AC49)/W50-W49)</f>
        <v>-0.52693544113953972</v>
      </c>
      <c r="AH50" s="28">
        <f>W50-X50*SIN(AG50)</f>
        <v>0.65167225148911889</v>
      </c>
      <c r="AI50" s="28">
        <f>AC50+X50*COS(AG50)</f>
        <v>5.4310960586929621E-2</v>
      </c>
      <c r="AJ50" s="28">
        <f>W50+X50*SIN(AG50)</f>
        <v>0.60832774851088112</v>
      </c>
      <c r="AK50" s="28">
        <f>AC50-X50*COS(AG50)</f>
        <v>-2.0188738364707404E-2</v>
      </c>
      <c r="AL50" s="28">
        <f>AH50/$W$15</f>
        <v>0.65167225148911889</v>
      </c>
      <c r="AM50" s="28">
        <f>AI50/$W$15</f>
        <v>5.4310960586929621E-2</v>
      </c>
      <c r="AN50" s="28">
        <f>AJ50/$W$15</f>
        <v>0.60832774851088112</v>
      </c>
      <c r="AO50" s="28">
        <f>AK50/$W$15</f>
        <v>-2.0188738364707404E-2</v>
      </c>
      <c r="AQ50" s="28">
        <f>AN33</f>
        <v>0.14318422419874069</v>
      </c>
      <c r="AR50" s="28">
        <f>AO33</f>
        <v>-4.0827771181404487E-2</v>
      </c>
    </row>
    <row r="51" spans="1:171" s="28" customFormat="1" x14ac:dyDescent="0.2">
      <c r="A51" s="46"/>
      <c r="B51" s="11"/>
      <c r="F51" s="11"/>
      <c r="M51" s="34"/>
      <c r="N51" s="34"/>
      <c r="O51" s="34"/>
      <c r="P51" s="34"/>
      <c r="Q51" s="34"/>
      <c r="R51" s="35"/>
      <c r="S51" s="35"/>
      <c r="V51" s="41">
        <v>0.68</v>
      </c>
      <c r="W51" s="41">
        <f>V51*$W$15</f>
        <v>0.68</v>
      </c>
      <c r="X51" s="81">
        <f>($C$28/0.2)*$W$15*(0.2969*SQRT(W51/$W$15)-0.126*(W51/$W$15)-0.3516*(W51/$W$15)^2+0.2843*(W51/$W$15)^3-0.1015*(W51/$W$15)^4)</f>
        <v>3.855665580550599E-2</v>
      </c>
      <c r="Y51" s="92"/>
      <c r="Z51" s="91">
        <f>2*(W51/$W$15)/$C$30-((W51/$W$15)/$C$30)^2</f>
        <v>0.51000000000000023</v>
      </c>
      <c r="AA51" s="91">
        <f>(1-2*$C$30+2*$C$30*W51/$W$15-(W51/$W$15)^2)/(1-$C$30)^2</f>
        <v>0.78222222222222204</v>
      </c>
      <c r="AB51" s="82"/>
      <c r="AC51" s="81">
        <f>IF(W51&lt;$Z$15,Z51,AA51)*$C$29</f>
        <v>1.564444444444444E-2</v>
      </c>
      <c r="AD51" s="82">
        <f>AC51/$W$15</f>
        <v>1.564444444444444E-2</v>
      </c>
      <c r="AE51" s="82"/>
      <c r="AG51" s="28">
        <f>ATAN((AC51-AC50)/W51-W50)</f>
        <v>-0.56367674044318994</v>
      </c>
      <c r="AH51" s="28">
        <f>W51-X51*SIN(AG51)</f>
        <v>0.70060073396782818</v>
      </c>
      <c r="AI51" s="28">
        <f>AC51+X51*COS(AG51)</f>
        <v>4.8236245052742086E-2</v>
      </c>
      <c r="AJ51" s="28">
        <f>W51+X51*SIN(AG51)</f>
        <v>0.65939926603217192</v>
      </c>
      <c r="AK51" s="28">
        <f>AC51-X51*COS(AG51)</f>
        <v>-1.6947356163853206E-2</v>
      </c>
      <c r="AL51" s="28">
        <f>AH51/$W$15</f>
        <v>0.70060073396782818</v>
      </c>
      <c r="AM51" s="28">
        <f>AI51/$W$15</f>
        <v>4.8236245052742086E-2</v>
      </c>
      <c r="AN51" s="28">
        <f>AJ51/$W$15</f>
        <v>0.65939926603217192</v>
      </c>
      <c r="AO51" s="28">
        <f>AK51/$W$15</f>
        <v>-1.6947356163853206E-2</v>
      </c>
      <c r="AQ51" s="28">
        <f>AN31</f>
        <v>0.11523249165619351</v>
      </c>
      <c r="AR51" s="28">
        <f>AO31</f>
        <v>-3.9453463629554937E-2</v>
      </c>
    </row>
    <row r="52" spans="1:171" s="28" customFormat="1" x14ac:dyDescent="0.2">
      <c r="A52" s="46"/>
      <c r="B52" s="11"/>
      <c r="M52" s="34"/>
      <c r="N52" s="34"/>
      <c r="O52" s="34"/>
      <c r="P52" s="34"/>
      <c r="Q52" s="34"/>
      <c r="R52" s="35"/>
      <c r="S52" s="35"/>
      <c r="V52" s="4">
        <v>0.73</v>
      </c>
      <c r="W52" s="41">
        <f>V52*$W$15</f>
        <v>0.73</v>
      </c>
      <c r="X52" s="81">
        <f>($C$28/0.2)*$W$15*(0.2969*SQRT(W52/$W$15)-0.126*(W52/$W$15)-0.3516*(W52/$W$15)^2+0.2843*(W52/$W$15)^3-0.1015*(W52/$W$15)^4)</f>
        <v>3.3658289810086499E-2</v>
      </c>
      <c r="Y52" s="92"/>
      <c r="Z52" s="91">
        <f>2*(W52/$W$15)/$C$30-((W52/$W$15)/$C$30)^2</f>
        <v>0.31937499999999996</v>
      </c>
      <c r="AA52" s="91">
        <f>(1-2*$C$30+2*$C$30*W52/$W$15-(W52/$W$15)^2)/(1-$C$30)^2</f>
        <v>0.69750000000000001</v>
      </c>
      <c r="AB52" s="82"/>
      <c r="AC52" s="81">
        <f>IF(W52&lt;$Z$15,Z52,AA52)*$C$29</f>
        <v>1.3950000000000001E-2</v>
      </c>
      <c r="AD52" s="82">
        <f>AC52/$W$15</f>
        <v>1.3950000000000001E-2</v>
      </c>
      <c r="AE52" s="82"/>
      <c r="AG52" s="28">
        <f>ATAN((AC52-AC51)/W52-W51)</f>
        <v>-0.59876216977060714</v>
      </c>
      <c r="AH52" s="28">
        <f>W52-X52*SIN(AG52)</f>
        <v>0.74897049929461867</v>
      </c>
      <c r="AI52" s="28">
        <f>AC52+X52*COS(AG52)</f>
        <v>4.1752888868832362E-2</v>
      </c>
      <c r="AJ52" s="28">
        <f>W52+X52*SIN(AG52)</f>
        <v>0.71102950070538129</v>
      </c>
      <c r="AK52" s="28">
        <f>AC52-X52*COS(AG52)</f>
        <v>-1.3852888868832361E-2</v>
      </c>
      <c r="AL52" s="28">
        <f>AH52/$W$15</f>
        <v>0.74897049929461867</v>
      </c>
      <c r="AM52" s="28">
        <f>AI52/$W$15</f>
        <v>4.1752888868832362E-2</v>
      </c>
      <c r="AN52" s="28">
        <f>AJ52/$W$15</f>
        <v>0.71102950070538129</v>
      </c>
      <c r="AO52" s="28">
        <f>AK52/$W$15</f>
        <v>-1.3852888868832361E-2</v>
      </c>
      <c r="AQ52" s="28">
        <f>AN29</f>
        <v>8.722254366570148E-2</v>
      </c>
      <c r="AR52" s="28">
        <f>AO29</f>
        <v>-3.6976379948171545E-2</v>
      </c>
    </row>
    <row r="53" spans="1:171" s="28" customFormat="1" x14ac:dyDescent="0.2">
      <c r="A53" s="46"/>
      <c r="B53" s="46"/>
      <c r="M53" s="34"/>
      <c r="N53" s="34"/>
      <c r="O53" s="34"/>
      <c r="P53" s="34"/>
      <c r="Q53" s="34"/>
      <c r="R53" s="35"/>
      <c r="S53" s="35"/>
      <c r="V53" s="41">
        <v>0.78</v>
      </c>
      <c r="W53" s="41">
        <f>V53*$W$15</f>
        <v>0.78</v>
      </c>
      <c r="X53" s="81">
        <f>($C$28/0.2)*$W$15*(0.2969*SQRT(W53/$W$15)-0.126*(W53/$W$15)-0.3516*(W53/$W$15)^2+0.2843*(W53/$W$15)^3-0.1015*(W53/$W$15)^4)</f>
        <v>2.8419835128764226E-2</v>
      </c>
      <c r="Y53" s="92"/>
      <c r="Z53" s="91">
        <f>2*(W53/$W$15)/$C$30-((W53/$W$15)/$C$30)^2</f>
        <v>9.7500000000000142E-2</v>
      </c>
      <c r="AA53" s="91">
        <f>(1-2*$C$30+2*$C$30*W53/$W$15-(W53/$W$15)^2)/(1-$C$30)^2</f>
        <v>0.59888888888888892</v>
      </c>
      <c r="AB53" s="82"/>
      <c r="AC53" s="81">
        <f>IF(W53&lt;$Z$15,Z53,AA53)*$C$29</f>
        <v>1.1977777777777778E-2</v>
      </c>
      <c r="AD53" s="82">
        <f>AC53/$W$15</f>
        <v>1.1977777777777778E-2</v>
      </c>
      <c r="AE53" s="82"/>
      <c r="AG53" s="28">
        <f>ATAN((AC53-AC52)/W53-W52)</f>
        <v>-0.63222525333096824</v>
      </c>
      <c r="AH53" s="28">
        <f>W53-X53*SIN(AG53)</f>
        <v>0.79679445612751465</v>
      </c>
      <c r="AI53" s="28">
        <f>AC53+X53*COS(AG53)</f>
        <v>3.4904471218549546E-2</v>
      </c>
      <c r="AJ53" s="28">
        <f>W53+X53*SIN(AG53)</f>
        <v>0.7632055438724854</v>
      </c>
      <c r="AK53" s="28">
        <f>AC53-X53*COS(AG53)</f>
        <v>-1.0948915662993993E-2</v>
      </c>
      <c r="AL53" s="28">
        <f>AH53/$W$15</f>
        <v>0.79679445612751465</v>
      </c>
      <c r="AM53" s="28">
        <f>AI53/$W$15</f>
        <v>3.4904471218549546E-2</v>
      </c>
      <c r="AN53" s="28">
        <f>AJ53/$W$15</f>
        <v>0.7632055438724854</v>
      </c>
      <c r="AO53" s="28">
        <f>AK53/$W$15</f>
        <v>-1.0948915662993993E-2</v>
      </c>
      <c r="AQ53" s="28">
        <f>AN27</f>
        <v>5.9106805197008359E-2</v>
      </c>
      <c r="AR53" s="28">
        <f>AO27</f>
        <v>-3.2815414356687764E-2</v>
      </c>
    </row>
    <row r="54" spans="1:171" s="28" customFormat="1" x14ac:dyDescent="0.2">
      <c r="A54" s="46"/>
      <c r="B54" s="46"/>
      <c r="C54" s="11"/>
      <c r="E54" s="93" t="str">
        <f>"NACA "&amp;C15&amp;" Airfoil Cross Section"</f>
        <v>NACA 2412 Airfoil Cross Section</v>
      </c>
      <c r="F54" s="11"/>
      <c r="G54" s="11"/>
      <c r="M54" s="34"/>
      <c r="N54" s="34"/>
      <c r="O54" s="34"/>
      <c r="P54" s="34"/>
      <c r="Q54" s="34"/>
      <c r="R54" s="35"/>
      <c r="S54" s="35"/>
      <c r="V54" s="4">
        <v>0.83</v>
      </c>
      <c r="W54" s="41">
        <f>V54*$W$15</f>
        <v>0.83</v>
      </c>
      <c r="X54" s="81">
        <f>($C$28/0.2)*$W$15*(0.2969*SQRT(W54/$W$15)-0.126*(W54/$W$15)-0.3516*(W54/$W$15)^2+0.2843*(W54/$W$15)^3-0.1015*(W54/$W$15)^4)</f>
        <v>2.2848228749876517E-2</v>
      </c>
      <c r="Y54" s="92"/>
      <c r="Z54" s="91">
        <f>2*(W54/$W$15)/$C$30-((W54/$W$15)/$C$30)^2</f>
        <v>-0.15562499999999968</v>
      </c>
      <c r="AA54" s="91">
        <f>(1-2*$C$30+2*$C$30*W54/$W$15-(W54/$W$15)^2)/(1-$C$30)^2</f>
        <v>0.48638888888888898</v>
      </c>
      <c r="AB54" s="82"/>
      <c r="AC54" s="81">
        <f>IF(W54&lt;$Z$15,Z54,AA54)*$C$29</f>
        <v>9.7277777777777796E-3</v>
      </c>
      <c r="AD54" s="82">
        <f>AC54/$W$15</f>
        <v>9.7277777777777796E-3</v>
      </c>
      <c r="AE54" s="82"/>
      <c r="AG54" s="28">
        <f>ATAN((AC54-AC53)/W54-W53)</f>
        <v>-0.66410950803851398</v>
      </c>
      <c r="AH54" s="28">
        <f>W54-X54*SIN(AG54)</f>
        <v>0.84408269189092711</v>
      </c>
      <c r="AI54" s="28">
        <f>AC54+X54*COS(AG54)</f>
        <v>2.7719980147468376E-2</v>
      </c>
      <c r="AJ54" s="28">
        <f>W54+X54*SIN(AG54)</f>
        <v>0.81591730810907281</v>
      </c>
      <c r="AK54" s="28">
        <f>AC54-X54*COS(AG54)</f>
        <v>-8.2644245919128168E-3</v>
      </c>
      <c r="AL54" s="28">
        <f>AH54/$W$15</f>
        <v>0.84408269189092711</v>
      </c>
      <c r="AM54" s="28">
        <f>AI54/$W$15</f>
        <v>2.7719980147468376E-2</v>
      </c>
      <c r="AN54" s="28">
        <f>AJ54/$W$15</f>
        <v>0.81591730810907281</v>
      </c>
      <c r="AO54" s="28">
        <f>AK54/$W$15</f>
        <v>-8.2644245919128168E-3</v>
      </c>
      <c r="AQ54" s="28">
        <f>AN25</f>
        <v>3.9236151543536407E-2</v>
      </c>
      <c r="AR54" s="28">
        <f>AO25</f>
        <v>-2.8468185619584266E-2</v>
      </c>
    </row>
    <row r="55" spans="1:171" s="28" customFormat="1" x14ac:dyDescent="0.2">
      <c r="A55" s="46"/>
      <c r="B55" s="46"/>
      <c r="C55" s="11"/>
      <c r="D55" s="11"/>
      <c r="E55" s="11"/>
      <c r="F55" s="11"/>
      <c r="G55" s="11"/>
      <c r="K55" s="46"/>
      <c r="M55" s="34"/>
      <c r="N55" s="34"/>
      <c r="O55" s="34"/>
      <c r="P55" s="34"/>
      <c r="Q55" s="34"/>
      <c r="R55" s="35"/>
      <c r="S55" s="35"/>
      <c r="V55" s="41">
        <v>0.88</v>
      </c>
      <c r="W55" s="41">
        <f>V55*$W$15</f>
        <v>0.88</v>
      </c>
      <c r="X55" s="81">
        <f>($C$28/0.2)*$W$15*(0.2969*SQRT(W55/$W$15)-0.126*(W55/$W$15)-0.3516*(W55/$W$15)^2+0.2843*(W55/$W$15)^3-0.1015*(W55/$W$15)^4)</f>
        <v>1.6938755026989112E-2</v>
      </c>
      <c r="Y55" s="92"/>
      <c r="Z55" s="91">
        <f>2*(W55/$W$15)/$C$30-((W55/$W$15)/$C$30)^2</f>
        <v>-0.4399999999999995</v>
      </c>
      <c r="AA55" s="91">
        <f>(1-2*$C$30+2*$C$30*W55/$W$15-(W55/$W$15)^2)/(1-$C$30)^2</f>
        <v>0.36000000000000015</v>
      </c>
      <c r="AB55" s="82"/>
      <c r="AC55" s="81">
        <f>IF(W55&lt;$Z$15,Z55,AA55)*$C$29</f>
        <v>7.2000000000000033E-3</v>
      </c>
      <c r="AD55" s="82">
        <f>AC55/$W$15</f>
        <v>7.2000000000000033E-3</v>
      </c>
      <c r="AE55" s="82"/>
      <c r="AG55" s="28">
        <f>ATAN((AC55-AC54)/W55-W54)</f>
        <v>-0.69446623242796846</v>
      </c>
      <c r="AH55" s="28">
        <f>W55-X55*SIN(AG55)</f>
        <v>0.89084038628956208</v>
      </c>
      <c r="AI55" s="28">
        <f>AC55+X55*COS(AG55)</f>
        <v>2.0215661602754755E-2</v>
      </c>
      <c r="AJ55" s="28">
        <f>W55+X55*SIN(AG55)</f>
        <v>0.86915961371043793</v>
      </c>
      <c r="AK55" s="28">
        <f>AC55-X55*COS(AG55)</f>
        <v>-5.8156616027547486E-3</v>
      </c>
      <c r="AL55" s="28">
        <f>AH55/$W$15</f>
        <v>0.89084038628956208</v>
      </c>
      <c r="AM55" s="28">
        <f>AI55/$W$15</f>
        <v>2.0215661602754755E-2</v>
      </c>
      <c r="AN55" s="28">
        <f>AJ55/$W$15</f>
        <v>0.86915961371043793</v>
      </c>
      <c r="AO55" s="28">
        <f>AK55/$W$15</f>
        <v>-5.8156616027547486E-3</v>
      </c>
      <c r="AQ55" s="28">
        <f>AN23</f>
        <v>2.973079005992187E-2</v>
      </c>
      <c r="AR55" s="28">
        <f>AO23</f>
        <v>-2.5512669502747866E-2</v>
      </c>
    </row>
    <row r="56" spans="1:171" s="28" customFormat="1" x14ac:dyDescent="0.2">
      <c r="M56" s="34"/>
      <c r="N56" s="34"/>
      <c r="O56" s="34"/>
      <c r="P56" s="34"/>
      <c r="Q56" s="34"/>
      <c r="R56" s="35"/>
      <c r="S56" s="35"/>
      <c r="V56" s="4">
        <v>0.93</v>
      </c>
      <c r="W56" s="41">
        <f>V56*$W$15</f>
        <v>0.93</v>
      </c>
      <c r="X56" s="81">
        <f>($C$28/0.2)*$W$15*(0.2969*SQRT(W56/$W$15)-0.126*(W56/$W$15)-0.3516*(W56/$W$15)^2+0.2843*(W56/$W$15)^3-0.1015*(W56/$W$15)^4)</f>
        <v>1.0675540307328476E-2</v>
      </c>
      <c r="Y56" s="92"/>
      <c r="Z56" s="91">
        <f>2*(W56/$W$15)/$C$30-((W56/$W$15)/$C$30)^2</f>
        <v>-0.75562500000000021</v>
      </c>
      <c r="AA56" s="91">
        <f>(1-2*$C$30+2*$C$30*W56/$W$15-(W56/$W$15)^2)/(1-$C$30)^2</f>
        <v>0.2197222222222221</v>
      </c>
      <c r="AB56" s="82"/>
      <c r="AC56" s="81">
        <f>IF(W56&lt;$Z$15,Z56,AA56)*$C$29</f>
        <v>4.3944444444444421E-3</v>
      </c>
      <c r="AD56" s="82">
        <f>AC56/$W$15</f>
        <v>4.3944444444444421E-3</v>
      </c>
      <c r="AE56" s="82"/>
      <c r="AG56" s="28">
        <f>ATAN((AC56-AC55)/W56-W55)</f>
        <v>-0.72335244828439282</v>
      </c>
      <c r="AH56" s="28">
        <f>W56-X56*SIN(AG56)</f>
        <v>0.93706615455953157</v>
      </c>
      <c r="AI56" s="28">
        <f>AC56+X56*COS(AG56)</f>
        <v>1.2396732904266872E-2</v>
      </c>
      <c r="AJ56" s="28">
        <f>W56+X56*SIN(AG56)</f>
        <v>0.92293384544046853</v>
      </c>
      <c r="AK56" s="28">
        <f>AC56-X56*COS(AG56)</f>
        <v>-3.6078440153779878E-3</v>
      </c>
      <c r="AL56" s="28">
        <f>AH56/$W$15</f>
        <v>0.93706615455953157</v>
      </c>
      <c r="AM56" s="28">
        <f>AI56/$W$15</f>
        <v>1.2396732904266872E-2</v>
      </c>
      <c r="AN56" s="28">
        <f>AJ56/$W$15</f>
        <v>0.92293384544046853</v>
      </c>
      <c r="AO56" s="28">
        <f>AK56/$W$15</f>
        <v>-3.6078440153779878E-3</v>
      </c>
      <c r="AQ56" s="28">
        <f>AN21</f>
        <v>2.0210159315717385E-2</v>
      </c>
      <c r="AR56" s="28">
        <f>AO21</f>
        <v>-2.1646835448969295E-2</v>
      </c>
    </row>
    <row r="57" spans="1:171" s="28" customFormat="1" x14ac:dyDescent="0.2">
      <c r="M57" s="34"/>
      <c r="N57" s="34"/>
      <c r="O57" s="34"/>
      <c r="P57" s="34"/>
      <c r="Q57" s="34"/>
      <c r="R57" s="35"/>
      <c r="S57" s="35"/>
      <c r="V57" s="41">
        <v>1</v>
      </c>
      <c r="W57" s="41">
        <f>V57*$W$15</f>
        <v>1</v>
      </c>
      <c r="X57" s="81">
        <f>($C$28/0.2)*$W$15*(0.2969*SQRT(W57/$W$15)-0.126*(W57/$W$15)-0.3516*(W57/$W$15)^2+0.2843*(W57/$W$15)^3-0.1015*(W57/$W$15)^4)</f>
        <v>1.2599999999999777E-3</v>
      </c>
      <c r="Y57" s="92"/>
      <c r="Z57" s="91">
        <f>2*(W57/$W$15)/$C$30-((W57/$W$15)/$C$30)^2</f>
        <v>-1.25</v>
      </c>
      <c r="AA57" s="91">
        <f>(1-2*$C$30+2*$C$30*W57/$W$15-(W57/$W$15)^2)/(1-$C$30)^2</f>
        <v>0</v>
      </c>
      <c r="AB57" s="82"/>
      <c r="AC57" s="81">
        <f>IF(W57&lt;$Z$15,Z57,AA57)*$C$29</f>
        <v>0</v>
      </c>
      <c r="AD57" s="82">
        <f>AC57/$W$15</f>
        <v>0</v>
      </c>
      <c r="AE57" s="82"/>
      <c r="AG57" s="28">
        <f>ATAN((AC57-AC56)/W57-W56)</f>
        <v>-0.75149586446928907</v>
      </c>
      <c r="AH57" s="28">
        <f>W57-X57*SIN(AG57)</f>
        <v>1.0008602429555136</v>
      </c>
      <c r="AI57" s="28">
        <f>AC57+X57*COS(AG57)</f>
        <v>9.206421984079222E-4</v>
      </c>
      <c r="AJ57" s="28">
        <f>W57+X57*SIN(AG57)</f>
        <v>0.99913975704448654</v>
      </c>
      <c r="AK57" s="28">
        <f>AC57-X57*COS(AG57)</f>
        <v>-9.206421984079222E-4</v>
      </c>
      <c r="AL57" s="28">
        <f>AH57/$W$15</f>
        <v>1.0008602429555136</v>
      </c>
      <c r="AM57" s="28">
        <f>AI57/$W$15</f>
        <v>9.206421984079222E-4</v>
      </c>
      <c r="AN57" s="28">
        <f>AJ57/$W$15</f>
        <v>0.99913975704448654</v>
      </c>
      <c r="AO57" s="28">
        <f>AK57/$W$15</f>
        <v>-9.206421984079222E-4</v>
      </c>
      <c r="AQ57" s="28">
        <f>AN19</f>
        <v>1.0749968391593511E-2</v>
      </c>
      <c r="AR57" s="28">
        <f>AO19</f>
        <v>-1.6033059241838572E-2</v>
      </c>
    </row>
    <row r="58" spans="1:171" s="28" customFormat="1" x14ac:dyDescent="0.2">
      <c r="M58" s="34"/>
      <c r="N58" s="34"/>
      <c r="O58" s="34"/>
      <c r="P58" s="34"/>
      <c r="Q58" s="34"/>
      <c r="R58" s="35"/>
      <c r="S58" s="35"/>
      <c r="U58" s="4"/>
      <c r="V58" s="4"/>
      <c r="W58" s="41"/>
      <c r="X58" s="81"/>
      <c r="Y58" s="92"/>
      <c r="Z58" s="91"/>
      <c r="AA58" s="91"/>
      <c r="AB58" s="82"/>
      <c r="AC58" s="81"/>
      <c r="AD58" s="82"/>
      <c r="AE58" s="82"/>
      <c r="AQ58" s="28">
        <f>AN17</f>
        <v>0</v>
      </c>
      <c r="AR58" s="28">
        <f>AO17</f>
        <v>0</v>
      </c>
    </row>
    <row r="61" spans="1:171" x14ac:dyDescent="0.2">
      <c r="A61" s="67" t="s">
        <v>53</v>
      </c>
      <c r="B61" s="68"/>
      <c r="C61" s="68"/>
      <c r="D61" s="68"/>
      <c r="E61" s="68"/>
      <c r="F61" s="68"/>
      <c r="G61" s="69"/>
      <c r="H61" s="69"/>
      <c r="I61" s="69"/>
      <c r="J61" s="69"/>
      <c r="K61" s="70"/>
    </row>
    <row r="62" spans="1:171" x14ac:dyDescent="0.2">
      <c r="A62" s="71"/>
      <c r="B62" s="71"/>
      <c r="C62" s="71"/>
      <c r="D62" s="72"/>
      <c r="E62" s="72"/>
      <c r="F62" s="73" t="s">
        <v>54</v>
      </c>
      <c r="G62" s="94" t="s">
        <v>55</v>
      </c>
      <c r="H62" s="74"/>
      <c r="I62" s="75"/>
      <c r="J62" s="75"/>
      <c r="K62" s="76"/>
    </row>
    <row r="63" spans="1:171" x14ac:dyDescent="0.2">
      <c r="A63" s="37"/>
      <c r="B63" s="28"/>
      <c r="C63" s="28"/>
      <c r="D63" s="28"/>
      <c r="E63" s="30" t="s">
        <v>3</v>
      </c>
      <c r="F63" s="31" t="str">
        <f>$C$1</f>
        <v>R. Abbott</v>
      </c>
      <c r="G63" s="28"/>
      <c r="H63" s="38"/>
      <c r="I63" s="30" t="s">
        <v>8</v>
      </c>
      <c r="J63" s="39" t="str">
        <f>$G$2</f>
        <v>AA-SM-270-001</v>
      </c>
      <c r="K63" s="40"/>
      <c r="L63" s="41"/>
      <c r="M63" s="32"/>
      <c r="N63" s="32"/>
      <c r="O63" s="32"/>
      <c r="P63" s="6"/>
      <c r="S63" s="48"/>
      <c r="T63" s="8"/>
      <c r="AD63" s="9"/>
    </row>
    <row r="64" spans="1:171" s="11" customFormat="1" x14ac:dyDescent="0.2">
      <c r="A64" s="28"/>
      <c r="B64" s="28"/>
      <c r="C64" s="28"/>
      <c r="D64" s="28"/>
      <c r="E64" s="30" t="s">
        <v>4</v>
      </c>
      <c r="F64" s="38" t="str">
        <f>$C$2</f>
        <v xml:space="preserve"> </v>
      </c>
      <c r="G64" s="28"/>
      <c r="H64" s="38"/>
      <c r="I64" s="30" t="s">
        <v>9</v>
      </c>
      <c r="J64" s="40" t="str">
        <f>$G$3</f>
        <v>A</v>
      </c>
      <c r="K64" s="40"/>
      <c r="L64" s="41"/>
      <c r="M64" s="32">
        <v>1</v>
      </c>
      <c r="N64" s="32"/>
      <c r="O64" s="32"/>
      <c r="P64" s="6"/>
      <c r="Q64" s="10"/>
      <c r="R64" s="8"/>
      <c r="S64" s="48"/>
      <c r="T64" s="8"/>
      <c r="U64" s="3"/>
      <c r="V64" s="3"/>
      <c r="W64" s="3"/>
      <c r="X64" s="3"/>
      <c r="Y64" s="3"/>
      <c r="Z64" s="3"/>
      <c r="AA64" s="3"/>
      <c r="AB64" s="3"/>
      <c r="AC64" s="3"/>
      <c r="AD64" s="3"/>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row>
    <row r="65" spans="1:185" x14ac:dyDescent="0.2">
      <c r="A65" s="28"/>
      <c r="B65" s="28"/>
      <c r="C65" s="28"/>
      <c r="D65" s="28"/>
      <c r="E65" s="30" t="s">
        <v>1</v>
      </c>
      <c r="F65" s="38" t="str">
        <f>$C$3</f>
        <v>20/10/2013</v>
      </c>
      <c r="G65" s="28"/>
      <c r="H65" s="38"/>
      <c r="I65" s="30" t="s">
        <v>10</v>
      </c>
      <c r="J65" s="31" t="str">
        <f>L65&amp;" of "&amp;$G$1</f>
        <v>2 of 2</v>
      </c>
      <c r="K65" s="38"/>
      <c r="L65" s="41">
        <f>SUM($M$1:M64)</f>
        <v>2</v>
      </c>
      <c r="M65" s="32"/>
      <c r="N65" s="32"/>
      <c r="O65" s="32"/>
      <c r="P65" s="6"/>
      <c r="S65" s="48"/>
      <c r="T65" s="8"/>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row>
    <row r="66" spans="1:185" x14ac:dyDescent="0.2">
      <c r="A66" s="2"/>
      <c r="B66" s="2"/>
      <c r="C66" s="2"/>
      <c r="D66" s="2"/>
      <c r="E66" s="30" t="s">
        <v>31</v>
      </c>
      <c r="F66" s="38" t="str">
        <f>$C$5</f>
        <v>STANDARD SPREADSHEET METHOD</v>
      </c>
      <c r="G66" s="28"/>
      <c r="H66" s="28"/>
      <c r="I66" s="42"/>
      <c r="J66" s="31"/>
      <c r="K66" s="28"/>
      <c r="L66" s="28"/>
      <c r="M66" s="32"/>
      <c r="N66" s="32"/>
      <c r="O66" s="32"/>
      <c r="P66" s="6"/>
      <c r="S66" s="48"/>
      <c r="T66" s="8"/>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row>
    <row r="67" spans="1:185" ht="15.75" x14ac:dyDescent="0.25">
      <c r="A67" s="13"/>
      <c r="B67" s="44" t="str">
        <f>$G$4</f>
        <v>NACA 4 DIGIT AIRFOIL GENERATOR</v>
      </c>
      <c r="C67" s="13"/>
      <c r="D67" s="13"/>
      <c r="E67" s="13"/>
      <c r="F67" s="13"/>
      <c r="G67" s="13"/>
      <c r="H67" s="13"/>
      <c r="I67" s="13"/>
      <c r="J67" s="13"/>
      <c r="K67" s="13"/>
      <c r="S67" s="48"/>
      <c r="T67" s="8"/>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row>
    <row r="68" spans="1:185" x14ac:dyDescent="0.2">
      <c r="A68" s="24"/>
      <c r="B68" s="12" t="s">
        <v>84</v>
      </c>
      <c r="C68" s="24"/>
      <c r="D68" s="24"/>
      <c r="E68" s="24"/>
      <c r="S68" s="48"/>
      <c r="T68" s="8"/>
    </row>
    <row r="69" spans="1:185" x14ac:dyDescent="0.2">
      <c r="A69" s="12"/>
      <c r="C69" s="12"/>
      <c r="D69" s="16"/>
      <c r="E69" s="12"/>
      <c r="F69" s="12"/>
      <c r="G69" s="12"/>
      <c r="H69" s="12"/>
      <c r="I69" s="12"/>
      <c r="J69" s="12"/>
      <c r="K69" s="12"/>
    </row>
    <row r="70" spans="1:185" x14ac:dyDescent="0.2">
      <c r="B70" s="97" t="s">
        <v>85</v>
      </c>
      <c r="C70" s="97"/>
      <c r="D70" s="97"/>
      <c r="E70" s="97" t="s">
        <v>86</v>
      </c>
      <c r="F70" s="97"/>
      <c r="G70" s="97"/>
      <c r="H70" s="97" t="s">
        <v>87</v>
      </c>
      <c r="I70" s="97"/>
    </row>
    <row r="71" spans="1:185" x14ac:dyDescent="0.2">
      <c r="B71" s="98" t="s">
        <v>60</v>
      </c>
      <c r="C71" s="98" t="s">
        <v>61</v>
      </c>
      <c r="D71" s="98"/>
      <c r="E71" s="98" t="s">
        <v>60</v>
      </c>
      <c r="F71" s="98" t="s">
        <v>61</v>
      </c>
      <c r="G71" s="98"/>
      <c r="H71" s="98" t="s">
        <v>60</v>
      </c>
      <c r="I71" s="98" t="s">
        <v>61</v>
      </c>
    </row>
    <row r="72" spans="1:185" x14ac:dyDescent="0.2">
      <c r="A72" s="12"/>
      <c r="B72" s="4"/>
      <c r="C72" s="4"/>
      <c r="D72" s="4"/>
      <c r="E72" s="4"/>
      <c r="F72" s="4"/>
      <c r="G72" s="4"/>
      <c r="H72" s="4"/>
      <c r="I72" s="95"/>
    </row>
    <row r="73" spans="1:185" x14ac:dyDescent="0.2">
      <c r="A73" s="12"/>
      <c r="B73" s="91">
        <f>AL17</f>
        <v>0</v>
      </c>
      <c r="C73" s="91">
        <f>AM17</f>
        <v>0</v>
      </c>
      <c r="D73" s="91"/>
      <c r="E73" s="91">
        <f>AN17</f>
        <v>0</v>
      </c>
      <c r="F73" s="91">
        <f>AO17</f>
        <v>0</v>
      </c>
      <c r="G73" s="23"/>
      <c r="H73" s="23">
        <f>V17</f>
        <v>0</v>
      </c>
      <c r="I73" s="23">
        <f>AD17</f>
        <v>0</v>
      </c>
      <c r="J73" s="18"/>
      <c r="K73" s="19"/>
    </row>
    <row r="74" spans="1:185" x14ac:dyDescent="0.2">
      <c r="A74" s="12"/>
      <c r="B74" s="91">
        <f t="shared" ref="B74:C74" si="0">AL18</f>
        <v>3.7922672346269639E-3</v>
      </c>
      <c r="C74" s="91">
        <f t="shared" si="0"/>
        <v>1.2650160689288415E-2</v>
      </c>
      <c r="D74" s="91"/>
      <c r="E74" s="91">
        <f t="shared" ref="E74:F74" si="1">AN18</f>
        <v>6.2077327653730363E-3</v>
      </c>
      <c r="F74" s="91">
        <f t="shared" si="1"/>
        <v>-1.1656410689288414E-2</v>
      </c>
      <c r="G74" s="23"/>
      <c r="H74" s="23">
        <f t="shared" ref="H74:H97" si="2">V18</f>
        <v>5.0000000000000001E-3</v>
      </c>
      <c r="I74" s="23">
        <f t="shared" ref="I74:I97" si="3">AD18</f>
        <v>4.9687499999999992E-4</v>
      </c>
      <c r="J74" s="17"/>
      <c r="K74" s="12"/>
    </row>
    <row r="75" spans="1:185" x14ac:dyDescent="0.2">
      <c r="A75" s="12"/>
      <c r="B75" s="91">
        <f t="shared" ref="B75:C75" si="4">AL19</f>
        <v>9.250031608406489E-3</v>
      </c>
      <c r="C75" s="91">
        <f t="shared" si="4"/>
        <v>1.800805924183857E-2</v>
      </c>
      <c r="D75" s="91"/>
      <c r="E75" s="91">
        <f t="shared" ref="E75:F75" si="5">AN19</f>
        <v>1.0749968391593511E-2</v>
      </c>
      <c r="F75" s="91">
        <f t="shared" si="5"/>
        <v>-1.6033059241838572E-2</v>
      </c>
      <c r="G75" s="23"/>
      <c r="H75" s="23">
        <f t="shared" si="2"/>
        <v>0.01</v>
      </c>
      <c r="I75" s="23">
        <f t="shared" si="3"/>
        <v>9.8749999999999988E-4</v>
      </c>
    </row>
    <row r="76" spans="1:185" x14ac:dyDescent="0.2">
      <c r="A76" s="12"/>
      <c r="B76" s="91">
        <f t="shared" ref="B76:C76" si="6">AL20</f>
        <v>1.4540087555560573E-2</v>
      </c>
      <c r="C76" s="91">
        <f t="shared" si="6"/>
        <v>2.2103461292609729E-2</v>
      </c>
      <c r="D76" s="91"/>
      <c r="E76" s="91">
        <f t="shared" ref="E76:F76" si="7">AN20</f>
        <v>1.5459912444439425E-2</v>
      </c>
      <c r="F76" s="91">
        <f t="shared" si="7"/>
        <v>-1.9159711292609728E-2</v>
      </c>
      <c r="G76" s="23"/>
      <c r="H76" s="23">
        <f t="shared" si="2"/>
        <v>1.4999999999999999E-2</v>
      </c>
      <c r="I76" s="23">
        <f t="shared" si="3"/>
        <v>1.4718750000000001E-3</v>
      </c>
      <c r="J76" s="20"/>
      <c r="K76" s="19"/>
    </row>
    <row r="77" spans="1:185" x14ac:dyDescent="0.2">
      <c r="A77" s="12"/>
      <c r="B77" s="91">
        <f t="shared" ref="B77:C77" si="8">AL21</f>
        <v>1.9789840684282616E-2</v>
      </c>
      <c r="C77" s="91">
        <f t="shared" si="8"/>
        <v>2.5546835448969296E-2</v>
      </c>
      <c r="D77" s="91"/>
      <c r="E77" s="91">
        <f t="shared" ref="E77:F77" si="9">AN21</f>
        <v>2.0210159315717385E-2</v>
      </c>
      <c r="F77" s="91">
        <f t="shared" si="9"/>
        <v>-2.1646835448969295E-2</v>
      </c>
      <c r="G77" s="23"/>
      <c r="H77" s="23">
        <f t="shared" si="2"/>
        <v>0.02</v>
      </c>
      <c r="I77" s="23">
        <f t="shared" si="3"/>
        <v>1.9499999999999999E-3</v>
      </c>
      <c r="J77" s="17"/>
      <c r="K77" s="12"/>
    </row>
    <row r="78" spans="1:185" x14ac:dyDescent="0.2">
      <c r="A78" s="12"/>
      <c r="B78" s="91">
        <f t="shared" ref="B78:C78" si="10">AL22</f>
        <v>2.5029415579858338E-2</v>
      </c>
      <c r="C78" s="91">
        <f t="shared" si="10"/>
        <v>2.8569057096298821E-2</v>
      </c>
      <c r="D78" s="91"/>
      <c r="E78" s="91">
        <f t="shared" ref="E78:F78" si="11">AN22</f>
        <v>2.4970584420141665E-2</v>
      </c>
      <c r="F78" s="91">
        <f t="shared" si="11"/>
        <v>-2.3725307096298821E-2</v>
      </c>
      <c r="G78" s="23"/>
      <c r="H78" s="23">
        <f t="shared" si="2"/>
        <v>2.5000000000000001E-2</v>
      </c>
      <c r="I78" s="23">
        <f t="shared" si="3"/>
        <v>2.421875E-3</v>
      </c>
      <c r="J78" s="21"/>
      <c r="K78" s="12"/>
    </row>
    <row r="79" spans="1:185" x14ac:dyDescent="0.2">
      <c r="A79" s="12"/>
      <c r="B79" s="91">
        <f t="shared" ref="B79:C79" si="12">AL23</f>
        <v>3.0269209940078128E-2</v>
      </c>
      <c r="C79" s="91">
        <f t="shared" si="12"/>
        <v>3.1287669502747868E-2</v>
      </c>
      <c r="D79" s="91"/>
      <c r="E79" s="91">
        <f t="shared" ref="E79:F79" si="13">AN23</f>
        <v>2.973079005992187E-2</v>
      </c>
      <c r="F79" s="91">
        <f t="shared" si="13"/>
        <v>-2.5512669502747866E-2</v>
      </c>
      <c r="G79" s="23"/>
      <c r="H79" s="23">
        <f t="shared" si="2"/>
        <v>0.03</v>
      </c>
      <c r="I79" s="23">
        <f t="shared" si="3"/>
        <v>2.8875000000000003E-3</v>
      </c>
      <c r="J79" s="22"/>
      <c r="K79" s="19"/>
    </row>
    <row r="80" spans="1:185" x14ac:dyDescent="0.2">
      <c r="A80" s="12"/>
      <c r="B80" s="91">
        <f t="shared" ref="B80:C80" si="14">AL24</f>
        <v>3.5513428740202233E-2</v>
      </c>
      <c r="C80" s="91">
        <f t="shared" si="14"/>
        <v>3.3772281826798721E-2</v>
      </c>
      <c r="D80" s="91"/>
      <c r="E80" s="91">
        <f t="shared" ref="E80:F80" si="15">AN24</f>
        <v>3.4486571259797774E-2</v>
      </c>
      <c r="F80" s="91">
        <f t="shared" si="15"/>
        <v>-2.7078531826798723E-2</v>
      </c>
      <c r="G80" s="23"/>
      <c r="H80" s="23">
        <f t="shared" si="2"/>
        <v>3.5000000000000003E-2</v>
      </c>
      <c r="I80" s="23">
        <f t="shared" si="3"/>
        <v>3.3468750000000005E-3</v>
      </c>
      <c r="J80" s="17"/>
      <c r="K80" s="12"/>
    </row>
    <row r="81" spans="1:11" x14ac:dyDescent="0.2">
      <c r="A81" s="12"/>
      <c r="B81" s="91">
        <f t="shared" ref="B81:C81" si="16">AL25</f>
        <v>4.0763848456463594E-2</v>
      </c>
      <c r="C81" s="91">
        <f t="shared" si="16"/>
        <v>3.6068185619584262E-2</v>
      </c>
      <c r="D81" s="91"/>
      <c r="E81" s="91">
        <f t="shared" ref="E81:F81" si="17">AN25</f>
        <v>3.9236151543536407E-2</v>
      </c>
      <c r="F81" s="91">
        <f t="shared" si="17"/>
        <v>-2.8468185619584266E-2</v>
      </c>
      <c r="G81" s="23"/>
      <c r="H81" s="23">
        <f t="shared" si="2"/>
        <v>0.04</v>
      </c>
      <c r="I81" s="23">
        <f t="shared" si="3"/>
        <v>3.7999999999999996E-3</v>
      </c>
      <c r="J81" s="17"/>
      <c r="K81" s="12"/>
    </row>
    <row r="82" spans="1:11" x14ac:dyDescent="0.2">
      <c r="B82" s="91">
        <f t="shared" ref="B82:C82" si="18">AL26</f>
        <v>4.6021156878976947E-2</v>
      </c>
      <c r="C82" s="91">
        <f t="shared" si="18"/>
        <v>3.8206826633413481E-2</v>
      </c>
      <c r="D82" s="91"/>
      <c r="E82" s="91">
        <f t="shared" ref="E82:F82" si="19">AN26</f>
        <v>4.3978843121023049E-2</v>
      </c>
      <c r="F82" s="91">
        <f t="shared" si="19"/>
        <v>-2.9713076633413483E-2</v>
      </c>
      <c r="G82" s="23"/>
      <c r="H82" s="23">
        <f t="shared" si="2"/>
        <v>4.4999999999999998E-2</v>
      </c>
      <c r="I82" s="23">
        <f t="shared" si="3"/>
        <v>4.2468749999999998E-3</v>
      </c>
    </row>
    <row r="83" spans="1:11" x14ac:dyDescent="0.2">
      <c r="B83" s="91">
        <f t="shared" ref="B83:C83" si="20">AL27</f>
        <v>6.0893194802991636E-2</v>
      </c>
      <c r="C83" s="91">
        <f t="shared" si="20"/>
        <v>4.3915414356687762E-2</v>
      </c>
      <c r="D83" s="91"/>
      <c r="E83" s="91">
        <f t="shared" ref="E83:F83" si="21">AN27</f>
        <v>5.9106805197008359E-2</v>
      </c>
      <c r="F83" s="91">
        <f t="shared" si="21"/>
        <v>-3.2815414356687764E-2</v>
      </c>
      <c r="G83" s="23"/>
      <c r="H83" s="23">
        <f t="shared" si="2"/>
        <v>0.06</v>
      </c>
      <c r="I83" s="23">
        <f t="shared" si="3"/>
        <v>5.5499999999999994E-3</v>
      </c>
    </row>
    <row r="84" spans="1:11" x14ac:dyDescent="0.2">
      <c r="A84" s="12"/>
      <c r="B84" s="91">
        <f t="shared" ref="B84:C84" si="22">AL28</f>
        <v>7.6819996872979135E-2</v>
      </c>
      <c r="C84" s="91">
        <f t="shared" si="22"/>
        <v>4.8756457085974265E-2</v>
      </c>
      <c r="D84" s="91"/>
      <c r="E84" s="91">
        <f t="shared" ref="E84:F84" si="23">AN28</f>
        <v>7.318000312702086E-2</v>
      </c>
      <c r="F84" s="91">
        <f t="shared" si="23"/>
        <v>-3.5162707085974264E-2</v>
      </c>
      <c r="G84" s="23"/>
      <c r="H84" s="23">
        <f t="shared" si="2"/>
        <v>7.4999999999999997E-2</v>
      </c>
      <c r="I84" s="23">
        <f t="shared" si="3"/>
        <v>6.7968749999999991E-3</v>
      </c>
      <c r="J84" s="12"/>
      <c r="K84" s="12"/>
    </row>
    <row r="85" spans="1:11" x14ac:dyDescent="0.2">
      <c r="A85" s="12"/>
      <c r="B85" s="91">
        <f t="shared" ref="B85:C85" si="24">AL29</f>
        <v>9.2777456334298514E-2</v>
      </c>
      <c r="C85" s="91">
        <f t="shared" si="24"/>
        <v>5.2951379948171548E-2</v>
      </c>
      <c r="D85" s="91"/>
      <c r="E85" s="91">
        <f t="shared" ref="E85:F85" si="25">AN29</f>
        <v>8.722254366570148E-2</v>
      </c>
      <c r="F85" s="91">
        <f t="shared" si="25"/>
        <v>-3.6976379948171545E-2</v>
      </c>
      <c r="G85" s="23"/>
      <c r="H85" s="23">
        <f t="shared" si="2"/>
        <v>0.09</v>
      </c>
      <c r="I85" s="23">
        <f t="shared" si="3"/>
        <v>7.9874999999999998E-3</v>
      </c>
      <c r="J85" s="12"/>
      <c r="K85" s="12"/>
    </row>
    <row r="86" spans="1:11" x14ac:dyDescent="0.2">
      <c r="A86" s="12"/>
      <c r="B86" s="91">
        <f t="shared" ref="B86:C86" si="26">AL30</f>
        <v>0.10876194560096826</v>
      </c>
      <c r="C86" s="91">
        <f t="shared" si="26"/>
        <v>5.662333016442455E-2</v>
      </c>
      <c r="D86" s="91"/>
      <c r="E86" s="91">
        <f t="shared" ref="E86:F86" si="27">AN30</f>
        <v>0.10123805439903173</v>
      </c>
      <c r="F86" s="91">
        <f t="shared" si="27"/>
        <v>-3.8379580164424547E-2</v>
      </c>
      <c r="G86" s="23"/>
      <c r="H86" s="23">
        <f t="shared" si="2"/>
        <v>0.105</v>
      </c>
      <c r="I86" s="23">
        <f t="shared" si="3"/>
        <v>9.1218749999999998E-3</v>
      </c>
      <c r="J86" s="17"/>
      <c r="K86" s="12"/>
    </row>
    <row r="87" spans="1:11" x14ac:dyDescent="0.2">
      <c r="A87" s="12"/>
      <c r="B87" s="91">
        <f t="shared" ref="B87:C87" si="28">AL31</f>
        <v>0.12476750834380648</v>
      </c>
      <c r="C87" s="91">
        <f t="shared" si="28"/>
        <v>5.9853463629554939E-2</v>
      </c>
      <c r="D87" s="91"/>
      <c r="E87" s="91">
        <f t="shared" ref="E87:F87" si="29">AN31</f>
        <v>0.11523249165619351</v>
      </c>
      <c r="F87" s="91">
        <f t="shared" si="29"/>
        <v>-3.9453463629554937E-2</v>
      </c>
      <c r="G87" s="23"/>
      <c r="H87" s="23">
        <f t="shared" si="2"/>
        <v>0.12</v>
      </c>
      <c r="I87" s="23">
        <f t="shared" si="3"/>
        <v>1.0200000000000001E-2</v>
      </c>
      <c r="K87" s="12"/>
    </row>
    <row r="88" spans="1:11" x14ac:dyDescent="0.2">
      <c r="A88" s="12"/>
      <c r="B88" s="91">
        <f t="shared" ref="B88:C88" si="30">AL32</f>
        <v>0.14078761039701346</v>
      </c>
      <c r="C88" s="91">
        <f t="shared" si="30"/>
        <v>6.2699076801725609E-2</v>
      </c>
      <c r="D88" s="91"/>
      <c r="E88" s="91">
        <f t="shared" ref="E88:F88" si="31">AN32</f>
        <v>0.12921238960298656</v>
      </c>
      <c r="F88" s="91">
        <f t="shared" si="31"/>
        <v>-4.0255326801725604E-2</v>
      </c>
      <c r="G88" s="23"/>
      <c r="H88" s="23">
        <f t="shared" si="2"/>
        <v>0.13500000000000001</v>
      </c>
      <c r="I88" s="23">
        <f t="shared" si="3"/>
        <v>1.1221875000000001E-2</v>
      </c>
      <c r="J88" s="16"/>
      <c r="K88" s="12"/>
    </row>
    <row r="89" spans="1:11" x14ac:dyDescent="0.2">
      <c r="A89" s="12"/>
      <c r="B89" s="91">
        <f t="shared" ref="B89:C89" si="32">AL33</f>
        <v>0.1568157758012593</v>
      </c>
      <c r="C89" s="91">
        <f t="shared" si="32"/>
        <v>6.5202771181404481E-2</v>
      </c>
      <c r="D89" s="91"/>
      <c r="E89" s="91">
        <f t="shared" ref="E89:F89" si="33">AN33</f>
        <v>0.14318422419874069</v>
      </c>
      <c r="F89" s="91">
        <f t="shared" si="33"/>
        <v>-4.0827771181404487E-2</v>
      </c>
      <c r="G89" s="23"/>
      <c r="H89" s="23">
        <f t="shared" si="2"/>
        <v>0.15</v>
      </c>
      <c r="I89" s="23">
        <f t="shared" si="3"/>
        <v>1.21875E-2</v>
      </c>
      <c r="J89" s="17"/>
      <c r="K89" s="12"/>
    </row>
    <row r="90" spans="1:11" x14ac:dyDescent="0.2">
      <c r="A90" s="12"/>
      <c r="B90" s="91">
        <f t="shared" ref="B90:C90" si="34">AL34</f>
        <v>0.1728458287440422</v>
      </c>
      <c r="C90" s="91">
        <f t="shared" si="34"/>
        <v>6.7397537955227058E-2</v>
      </c>
      <c r="D90" s="91"/>
      <c r="E90" s="91">
        <f t="shared" ref="E90:F90" si="35">AN34</f>
        <v>0.15715417125595782</v>
      </c>
      <c r="F90" s="91">
        <f t="shared" si="35"/>
        <v>-4.1203787955227056E-2</v>
      </c>
      <c r="G90" s="23"/>
      <c r="H90" s="23">
        <f t="shared" si="2"/>
        <v>0.16500000000000001</v>
      </c>
      <c r="I90" s="23">
        <f t="shared" si="3"/>
        <v>1.3096874999999999E-2</v>
      </c>
      <c r="J90" s="23"/>
      <c r="K90" s="12"/>
    </row>
    <row r="91" spans="1:11" x14ac:dyDescent="0.2">
      <c r="A91" s="12"/>
      <c r="B91" s="91">
        <f t="shared" ref="B91:C91" si="36">AL35</f>
        <v>0.18887198182625373</v>
      </c>
      <c r="C91" s="91">
        <f t="shared" si="36"/>
        <v>6.9309782601258224E-2</v>
      </c>
      <c r="D91" s="91"/>
      <c r="E91" s="91">
        <f t="shared" ref="E91:F91" si="37">AN35</f>
        <v>0.17112801817374626</v>
      </c>
      <c r="F91" s="91">
        <f t="shared" si="37"/>
        <v>-4.1409782601258216E-2</v>
      </c>
      <c r="G91" s="23"/>
      <c r="H91" s="23">
        <f t="shared" si="2"/>
        <v>0.18</v>
      </c>
      <c r="I91" s="23">
        <f t="shared" si="3"/>
        <v>1.3950000000000001E-2</v>
      </c>
      <c r="J91" s="12"/>
      <c r="K91" s="12"/>
    </row>
    <row r="92" spans="1:11" x14ac:dyDescent="0.2">
      <c r="A92" s="12"/>
      <c r="B92" s="91">
        <f t="shared" ref="B92:C92" si="38">AL36</f>
        <v>0.20987668547877777</v>
      </c>
      <c r="C92" s="91">
        <f t="shared" si="38"/>
        <v>7.1518944084565245E-2</v>
      </c>
      <c r="D92" s="91"/>
      <c r="E92" s="91">
        <f t="shared" ref="E92:F92" si="39">AN36</f>
        <v>0.19012331452122225</v>
      </c>
      <c r="F92" s="91">
        <f t="shared" si="39"/>
        <v>-4.1518944084565246E-2</v>
      </c>
      <c r="G92" s="23"/>
      <c r="H92" s="23">
        <f t="shared" si="2"/>
        <v>0.2</v>
      </c>
      <c r="I92" s="23">
        <f t="shared" si="3"/>
        <v>1.4999999999999999E-2</v>
      </c>
      <c r="K92" s="12"/>
    </row>
    <row r="93" spans="1:11" x14ac:dyDescent="0.2">
      <c r="A93" s="12"/>
      <c r="B93" s="91">
        <f t="shared" ref="B93:C93" si="40">AL37</f>
        <v>0.23121247867328495</v>
      </c>
      <c r="C93" s="91">
        <f t="shared" si="40"/>
        <v>7.3249542581247079E-2</v>
      </c>
      <c r="D93" s="91"/>
      <c r="E93" s="91">
        <f t="shared" ref="E93:F93" si="41">AN37</f>
        <v>0.20878752132671505</v>
      </c>
      <c r="F93" s="91">
        <f t="shared" si="41"/>
        <v>-4.1349542581247074E-2</v>
      </c>
      <c r="G93" s="23"/>
      <c r="H93" s="23">
        <f t="shared" si="2"/>
        <v>0.22</v>
      </c>
      <c r="I93" s="23">
        <f t="shared" si="3"/>
        <v>1.5949999999999999E-2</v>
      </c>
      <c r="K93" s="12"/>
    </row>
    <row r="94" spans="1:11" x14ac:dyDescent="0.2">
      <c r="A94" s="12"/>
      <c r="B94" s="91">
        <f t="shared" ref="B94:C94" si="42">AL38</f>
        <v>0.2525097228184589</v>
      </c>
      <c r="C94" s="91">
        <f t="shared" si="42"/>
        <v>7.4592752193072917E-2</v>
      </c>
      <c r="D94" s="91"/>
      <c r="E94" s="91">
        <f t="shared" ref="E94:F94" si="43">AN38</f>
        <v>0.22749027718154108</v>
      </c>
      <c r="F94" s="91">
        <f t="shared" si="43"/>
        <v>-4.0992752193072926E-2</v>
      </c>
      <c r="G94" s="23"/>
      <c r="H94" s="23">
        <f t="shared" si="2"/>
        <v>0.24</v>
      </c>
      <c r="I94" s="23">
        <f t="shared" si="3"/>
        <v>1.6799999999999999E-2</v>
      </c>
      <c r="K94" s="12"/>
    </row>
    <row r="95" spans="1:11" x14ac:dyDescent="0.2">
      <c r="A95" s="12"/>
      <c r="B95" s="91">
        <f t="shared" ref="B95:C95" si="44">AL39</f>
        <v>0.27375930500772799</v>
      </c>
      <c r="C95" s="91">
        <f t="shared" si="44"/>
        <v>7.5577888110450506E-2</v>
      </c>
      <c r="D95" s="91"/>
      <c r="E95" s="91">
        <f t="shared" ref="E95:F95" si="45">AN39</f>
        <v>0.24624069499227202</v>
      </c>
      <c r="F95" s="91">
        <f t="shared" si="45"/>
        <v>-4.0477888110450513E-2</v>
      </c>
      <c r="G95" s="23"/>
      <c r="H95" s="23">
        <f t="shared" si="2"/>
        <v>0.26</v>
      </c>
      <c r="I95" s="23">
        <f t="shared" si="3"/>
        <v>1.755E-2</v>
      </c>
      <c r="K95" s="12"/>
    </row>
    <row r="96" spans="1:11" x14ac:dyDescent="0.2">
      <c r="A96" s="12"/>
      <c r="B96" s="91">
        <f t="shared" ref="B96:C96" si="46">AL40</f>
        <v>0.29495314375977688</v>
      </c>
      <c r="C96" s="91">
        <f t="shared" si="46"/>
        <v>7.6230218333160321E-2</v>
      </c>
      <c r="D96" s="91"/>
      <c r="E96" s="91">
        <f t="shared" ref="E96:F96" si="47">AN40</f>
        <v>0.26504685624022317</v>
      </c>
      <c r="F96" s="91">
        <f t="shared" si="47"/>
        <v>-3.9830218333160326E-2</v>
      </c>
      <c r="G96" s="23"/>
      <c r="H96" s="23">
        <f t="shared" si="2"/>
        <v>0.28000000000000003</v>
      </c>
      <c r="I96" s="23">
        <f t="shared" si="3"/>
        <v>1.8200000000000001E-2</v>
      </c>
      <c r="K96" s="12"/>
    </row>
    <row r="97" spans="1:11" x14ac:dyDescent="0.2">
      <c r="A97" s="12"/>
      <c r="B97" s="91">
        <f t="shared" ref="B97:C97" si="48">AL41</f>
        <v>0.31608412755634585</v>
      </c>
      <c r="C97" s="91">
        <f t="shared" si="48"/>
        <v>7.6571908530901928E-2</v>
      </c>
      <c r="D97" s="91"/>
      <c r="E97" s="91">
        <f t="shared" ref="E97:F97" si="49">AN41</f>
        <v>0.28391587244365413</v>
      </c>
      <c r="F97" s="91">
        <f t="shared" si="49"/>
        <v>-3.9071908530901936E-2</v>
      </c>
      <c r="G97" s="23"/>
      <c r="H97" s="23">
        <f t="shared" si="2"/>
        <v>0.3</v>
      </c>
      <c r="I97" s="23">
        <f t="shared" si="3"/>
        <v>1.8749999999999999E-2</v>
      </c>
      <c r="K97" s="12"/>
    </row>
    <row r="98" spans="1:11" x14ac:dyDescent="0.2">
      <c r="A98" s="12"/>
      <c r="B98" s="91">
        <f>AL42</f>
        <v>0.33714605218167282</v>
      </c>
      <c r="C98" s="91">
        <f>AM42</f>
        <v>7.6622676066303561E-2</v>
      </c>
      <c r="D98" s="91"/>
      <c r="E98" s="91">
        <f>AN42</f>
        <v>0.3028539478183272</v>
      </c>
      <c r="F98" s="91">
        <f>AO42</f>
        <v>-3.8222676066303557E-2</v>
      </c>
      <c r="G98" s="23"/>
      <c r="H98" s="23">
        <f>V42</f>
        <v>0.32</v>
      </c>
      <c r="I98" s="23">
        <f>AD42</f>
        <v>1.9199999999999998E-2</v>
      </c>
      <c r="K98" s="12"/>
    </row>
    <row r="99" spans="1:11" x14ac:dyDescent="0.2">
      <c r="A99" s="12"/>
      <c r="B99" s="91">
        <f t="shared" ref="B99:B109" si="50">AL43</f>
        <v>0.35813355878290315</v>
      </c>
      <c r="C99" s="91">
        <f t="shared" ref="C99:C109" si="51">AM43</f>
        <v>7.6400253445708305E-2</v>
      </c>
      <c r="D99" s="91"/>
      <c r="E99" s="91">
        <f t="shared" ref="E99:E109" si="52">AN43</f>
        <v>0.3218664412170969</v>
      </c>
      <c r="F99" s="91">
        <f t="shared" ref="F99:F109" si="53">AO43</f>
        <v>-3.7300253445708309E-2</v>
      </c>
      <c r="G99" s="23"/>
      <c r="H99" s="23">
        <f t="shared" ref="H99:H109" si="54">V43</f>
        <v>0.34</v>
      </c>
      <c r="I99" s="23">
        <f t="shared" ref="I99:I109" si="55">AD43</f>
        <v>1.9550000000000001E-2</v>
      </c>
      <c r="K99" s="12"/>
    </row>
    <row r="100" spans="1:11" x14ac:dyDescent="0.2">
      <c r="A100" s="12"/>
      <c r="B100" s="91">
        <f t="shared" si="50"/>
        <v>0.37904207326188782</v>
      </c>
      <c r="C100" s="91">
        <f t="shared" si="51"/>
        <v>7.5920723489804581E-2</v>
      </c>
      <c r="D100" s="91"/>
      <c r="E100" s="91">
        <f t="shared" si="52"/>
        <v>0.34095792673811215</v>
      </c>
      <c r="F100" s="91">
        <f t="shared" si="53"/>
        <v>-3.6320723489804571E-2</v>
      </c>
      <c r="G100" s="23"/>
      <c r="H100" s="23">
        <f t="shared" si="54"/>
        <v>0.36</v>
      </c>
      <c r="I100" s="23">
        <f t="shared" si="55"/>
        <v>1.9800000000000002E-2</v>
      </c>
      <c r="K100" s="12"/>
    </row>
    <row r="101" spans="1:11" x14ac:dyDescent="0.2">
      <c r="A101" s="12"/>
      <c r="B101" s="91">
        <f t="shared" si="50"/>
        <v>0.39986774711660433</v>
      </c>
      <c r="C101" s="91">
        <f t="shared" si="51"/>
        <v>7.5198766222536739E-2</v>
      </c>
      <c r="D101" s="91"/>
      <c r="E101" s="91">
        <f t="shared" si="52"/>
        <v>0.36013225288339568</v>
      </c>
      <c r="F101" s="91">
        <f t="shared" si="53"/>
        <v>-3.5298766222536734E-2</v>
      </c>
      <c r="G101" s="23"/>
      <c r="H101" s="23">
        <f t="shared" si="54"/>
        <v>0.38</v>
      </c>
      <c r="I101" s="23">
        <f t="shared" si="55"/>
        <v>1.9949999999999999E-2</v>
      </c>
      <c r="K101" s="12"/>
    </row>
    <row r="102" spans="1:11" x14ac:dyDescent="0.2">
      <c r="B102" s="91">
        <f t="shared" si="50"/>
        <v>0.45016925028315791</v>
      </c>
      <c r="C102" s="91">
        <f t="shared" si="51"/>
        <v>7.3026974429362929E-2</v>
      </c>
      <c r="D102" s="91"/>
      <c r="E102" s="91">
        <f t="shared" si="52"/>
        <v>0.40983074971684208</v>
      </c>
      <c r="F102" s="91">
        <f t="shared" si="53"/>
        <v>-3.3126974429362924E-2</v>
      </c>
      <c r="G102" s="23"/>
      <c r="H102" s="23">
        <f t="shared" si="54"/>
        <v>0.43</v>
      </c>
      <c r="I102" s="23">
        <f t="shared" si="55"/>
        <v>1.9950000000000006E-2</v>
      </c>
      <c r="J102" s="17"/>
    </row>
    <row r="103" spans="1:11" x14ac:dyDescent="0.2">
      <c r="B103" s="91">
        <f t="shared" si="50"/>
        <v>0.50142054854592133</v>
      </c>
      <c r="C103" s="91">
        <f t="shared" si="51"/>
        <v>6.9386035929046963E-2</v>
      </c>
      <c r="D103" s="91"/>
      <c r="E103" s="91">
        <f t="shared" si="52"/>
        <v>0.45857945145407863</v>
      </c>
      <c r="F103" s="91">
        <f t="shared" si="53"/>
        <v>-3.0097147040158083E-2</v>
      </c>
      <c r="G103" s="23"/>
      <c r="H103" s="23">
        <f t="shared" si="54"/>
        <v>0.48</v>
      </c>
      <c r="I103" s="23">
        <f t="shared" si="55"/>
        <v>1.9644444444444444E-2</v>
      </c>
      <c r="J103" s="17"/>
    </row>
    <row r="104" spans="1:11" x14ac:dyDescent="0.2">
      <c r="B104" s="91">
        <f t="shared" si="50"/>
        <v>0.55208929445913624</v>
      </c>
      <c r="C104" s="91">
        <f t="shared" si="51"/>
        <v>6.4975194632944738E-2</v>
      </c>
      <c r="D104" s="91"/>
      <c r="E104" s="91">
        <f t="shared" si="52"/>
        <v>0.50791070554086382</v>
      </c>
      <c r="F104" s="91">
        <f t="shared" si="53"/>
        <v>-2.6852972410722518E-2</v>
      </c>
      <c r="G104" s="23"/>
      <c r="H104" s="23">
        <f t="shared" si="54"/>
        <v>0.53</v>
      </c>
      <c r="I104" s="23">
        <f t="shared" si="55"/>
        <v>1.9061111111111109E-2</v>
      </c>
      <c r="J104" s="17"/>
    </row>
    <row r="105" spans="1:11" x14ac:dyDescent="0.2">
      <c r="B105" s="91">
        <f t="shared" si="50"/>
        <v>0.60217188671248412</v>
      </c>
      <c r="C105" s="91">
        <f t="shared" si="51"/>
        <v>5.9916888150077327E-2</v>
      </c>
      <c r="D105" s="91"/>
      <c r="E105" s="91">
        <f t="shared" si="52"/>
        <v>0.5578281132875158</v>
      </c>
      <c r="F105" s="91">
        <f t="shared" si="53"/>
        <v>-2.3516888150077329E-2</v>
      </c>
      <c r="G105" s="23"/>
      <c r="H105" s="23">
        <f t="shared" si="54"/>
        <v>0.57999999999999996</v>
      </c>
      <c r="I105" s="23">
        <f t="shared" si="55"/>
        <v>1.8199999999999997E-2</v>
      </c>
      <c r="J105" s="17"/>
    </row>
    <row r="106" spans="1:11" x14ac:dyDescent="0.2">
      <c r="B106" s="91">
        <f t="shared" si="50"/>
        <v>0.65167225148911889</v>
      </c>
      <c r="C106" s="91">
        <f t="shared" si="51"/>
        <v>5.4310960586929621E-2</v>
      </c>
      <c r="D106" s="91"/>
      <c r="E106" s="91">
        <f t="shared" si="52"/>
        <v>0.60832774851088112</v>
      </c>
      <c r="F106" s="91">
        <f t="shared" si="53"/>
        <v>-2.0188738364707404E-2</v>
      </c>
      <c r="G106" s="23"/>
      <c r="H106" s="23">
        <f t="shared" si="54"/>
        <v>0.63</v>
      </c>
      <c r="I106" s="23">
        <f t="shared" si="55"/>
        <v>1.7061111111111107E-2</v>
      </c>
    </row>
    <row r="107" spans="1:11" x14ac:dyDescent="0.2">
      <c r="B107" s="91">
        <f t="shared" si="50"/>
        <v>0.70060073396782818</v>
      </c>
      <c r="C107" s="91">
        <f t="shared" si="51"/>
        <v>4.8236245052742086E-2</v>
      </c>
      <c r="D107" s="91"/>
      <c r="E107" s="91">
        <f t="shared" si="52"/>
        <v>0.65939926603217192</v>
      </c>
      <c r="F107" s="91">
        <f t="shared" si="53"/>
        <v>-1.6947356163853206E-2</v>
      </c>
      <c r="G107" s="23"/>
      <c r="H107" s="23">
        <f t="shared" si="54"/>
        <v>0.68</v>
      </c>
      <c r="I107" s="23">
        <f t="shared" si="55"/>
        <v>1.564444444444444E-2</v>
      </c>
    </row>
    <row r="108" spans="1:11" x14ac:dyDescent="0.2">
      <c r="B108" s="91">
        <f t="shared" si="50"/>
        <v>0.74897049929461867</v>
      </c>
      <c r="C108" s="91">
        <f t="shared" si="51"/>
        <v>4.1752888868832362E-2</v>
      </c>
      <c r="D108" s="91"/>
      <c r="E108" s="91">
        <f t="shared" si="52"/>
        <v>0.71102950070538129</v>
      </c>
      <c r="F108" s="91">
        <f t="shared" si="53"/>
        <v>-1.3852888868832361E-2</v>
      </c>
      <c r="G108" s="23"/>
      <c r="H108" s="23">
        <f t="shared" si="54"/>
        <v>0.73</v>
      </c>
      <c r="I108" s="23">
        <f t="shared" si="55"/>
        <v>1.3950000000000001E-2</v>
      </c>
      <c r="J108" s="17"/>
    </row>
    <row r="109" spans="1:11" x14ac:dyDescent="0.2">
      <c r="B109" s="91">
        <f t="shared" si="50"/>
        <v>0.79679445612751465</v>
      </c>
      <c r="C109" s="91">
        <f t="shared" si="51"/>
        <v>3.4904471218549546E-2</v>
      </c>
      <c r="D109" s="91"/>
      <c r="E109" s="91">
        <f t="shared" si="52"/>
        <v>0.7632055438724854</v>
      </c>
      <c r="F109" s="91">
        <f t="shared" si="53"/>
        <v>-1.0948915662993993E-2</v>
      </c>
      <c r="G109" s="23"/>
      <c r="H109" s="23">
        <f t="shared" si="54"/>
        <v>0.78</v>
      </c>
      <c r="I109" s="23">
        <f t="shared" si="55"/>
        <v>1.1977777777777778E-2</v>
      </c>
    </row>
    <row r="110" spans="1:11" x14ac:dyDescent="0.2">
      <c r="B110" s="91">
        <f>AL54</f>
        <v>0.84408269189092711</v>
      </c>
      <c r="C110" s="91">
        <f>AM54</f>
        <v>2.7719980147468376E-2</v>
      </c>
      <c r="D110" s="91"/>
      <c r="E110" s="91">
        <f>AN54</f>
        <v>0.81591730810907281</v>
      </c>
      <c r="F110" s="91">
        <f>AO54</f>
        <v>-8.2644245919128168E-3</v>
      </c>
      <c r="G110" s="23"/>
      <c r="H110" s="23">
        <f>V54</f>
        <v>0.83</v>
      </c>
      <c r="I110" s="23">
        <f>AD54</f>
        <v>9.7277777777777796E-3</v>
      </c>
    </row>
    <row r="111" spans="1:11" x14ac:dyDescent="0.2">
      <c r="B111" s="91">
        <f t="shared" ref="B111:B114" si="56">AL55</f>
        <v>0.89084038628956208</v>
      </c>
      <c r="C111" s="91">
        <f t="shared" ref="C111:C114" si="57">AM55</f>
        <v>2.0215661602754755E-2</v>
      </c>
      <c r="D111" s="91"/>
      <c r="E111" s="91">
        <f t="shared" ref="E111:E114" si="58">AN55</f>
        <v>0.86915961371043793</v>
      </c>
      <c r="F111" s="91">
        <f t="shared" ref="F111:F114" si="59">AO55</f>
        <v>-5.8156616027547486E-3</v>
      </c>
      <c r="G111" s="23"/>
      <c r="H111" s="23">
        <f t="shared" ref="H111:H114" si="60">V55</f>
        <v>0.88</v>
      </c>
      <c r="I111" s="23">
        <f t="shared" ref="I111:I114" si="61">AD55</f>
        <v>7.2000000000000033E-3</v>
      </c>
    </row>
    <row r="112" spans="1:11" x14ac:dyDescent="0.2">
      <c r="B112" s="91">
        <f t="shared" si="56"/>
        <v>0.93706615455953157</v>
      </c>
      <c r="C112" s="91">
        <f t="shared" si="57"/>
        <v>1.2396732904266872E-2</v>
      </c>
      <c r="D112" s="91"/>
      <c r="E112" s="91">
        <f t="shared" si="58"/>
        <v>0.92293384544046853</v>
      </c>
      <c r="F112" s="91">
        <f t="shared" si="59"/>
        <v>-3.6078440153779878E-3</v>
      </c>
      <c r="G112" s="23"/>
      <c r="H112" s="23">
        <f t="shared" si="60"/>
        <v>0.93</v>
      </c>
      <c r="I112" s="23">
        <f t="shared" si="61"/>
        <v>4.3944444444444421E-3</v>
      </c>
    </row>
    <row r="113" spans="1:11" x14ac:dyDescent="0.2">
      <c r="B113" s="91">
        <f t="shared" si="56"/>
        <v>1.0008602429555136</v>
      </c>
      <c r="C113" s="91">
        <f t="shared" si="57"/>
        <v>9.206421984079222E-4</v>
      </c>
      <c r="D113" s="91"/>
      <c r="E113" s="91">
        <f t="shared" si="58"/>
        <v>0.99913975704448654</v>
      </c>
      <c r="F113" s="91">
        <f t="shared" si="59"/>
        <v>-9.206421984079222E-4</v>
      </c>
      <c r="G113" s="23"/>
      <c r="H113" s="23">
        <f t="shared" si="60"/>
        <v>1</v>
      </c>
      <c r="I113" s="23">
        <f t="shared" si="61"/>
        <v>0</v>
      </c>
    </row>
    <row r="114" spans="1:11" x14ac:dyDescent="0.2">
      <c r="B114" s="9"/>
      <c r="C114" s="9"/>
      <c r="D114" s="9"/>
      <c r="E114" s="9"/>
      <c r="F114" s="9"/>
      <c r="G114" s="96"/>
      <c r="H114" s="96"/>
      <c r="I114" s="96"/>
    </row>
    <row r="116" spans="1:11" x14ac:dyDescent="0.2">
      <c r="A116" s="13"/>
      <c r="B116" s="4"/>
      <c r="C116" s="55"/>
      <c r="D116" s="13"/>
      <c r="E116" s="13"/>
      <c r="F116" s="13"/>
      <c r="G116" s="55"/>
      <c r="H116" s="13"/>
      <c r="I116" s="13"/>
      <c r="J116" s="13"/>
      <c r="K116" s="13"/>
    </row>
    <row r="117" spans="1:11" x14ac:dyDescent="0.2">
      <c r="A117" s="67" t="s">
        <v>53</v>
      </c>
      <c r="B117" s="68"/>
      <c r="C117" s="68"/>
      <c r="D117" s="68"/>
      <c r="E117" s="68"/>
      <c r="F117" s="68"/>
      <c r="G117" s="69"/>
      <c r="H117" s="69"/>
      <c r="I117" s="69"/>
      <c r="J117" s="69"/>
      <c r="K117" s="70"/>
    </row>
    <row r="118" spans="1:11" x14ac:dyDescent="0.2">
      <c r="A118" s="71"/>
      <c r="B118" s="71"/>
      <c r="C118" s="71"/>
      <c r="D118" s="72"/>
      <c r="E118" s="72"/>
      <c r="F118" s="73" t="s">
        <v>54</v>
      </c>
      <c r="G118" s="94" t="s">
        <v>55</v>
      </c>
      <c r="H118" s="74"/>
      <c r="I118" s="75"/>
      <c r="J118" s="75"/>
      <c r="K118" s="76"/>
    </row>
  </sheetData>
  <mergeCells count="1">
    <mergeCell ref="B13:D13"/>
  </mergeCells>
  <hyperlinks>
    <hyperlink ref="G62" r:id="rId1"/>
    <hyperlink ref="G118" r:id="rId2"/>
    <hyperlink ref="B13:D13" r:id="rId3" display="(NACA-REPORT-460, 1933)"/>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2017-05-21T04:30:35Z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