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36" yWindow="0" windowWidth="12108" windowHeight="12132" tabRatio="891" activeTab="3"/>
  </bookViews>
  <sheets>
    <sheet name="READ ME" sheetId="45" r:id="rId1"/>
    <sheet name="4.0 References" sheetId="40" r:id="rId2"/>
    <sheet name="Aircraft Parameters" sheetId="42" r:id="rId3"/>
    <sheet name="Performance Summary" sheetId="39" r:id="rId4"/>
    <sheet name="Graphs" sheetId="35" r:id="rId5"/>
  </sheets>
  <definedNames>
    <definedName name="MENG">#REF!</definedName>
    <definedName name="MPROP">#REF!</definedName>
    <definedName name="_xlnm.Print_Area" localSheetId="1">'4.0 References'!$A$8:$K$62</definedName>
    <definedName name="_xlnm.Print_Area" localSheetId="2">'Aircraft Parameters'!$A$8:$K$60</definedName>
    <definedName name="_xlnm.Print_Area" localSheetId="3">'Performance Summary'!$A$8:$K$390</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45" l="1"/>
  <c r="E172" i="39" l="1"/>
  <c r="E152" i="39"/>
  <c r="M5" i="42"/>
  <c r="M5" i="39" s="1"/>
  <c r="V349" i="39"/>
  <c r="V350" i="39" s="1"/>
  <c r="W348" i="39"/>
  <c r="W349" i="39" s="1"/>
  <c r="C35" i="42" l="1"/>
  <c r="C32" i="42"/>
  <c r="C28" i="42"/>
  <c r="B13" i="42"/>
  <c r="F9" i="42" l="1"/>
  <c r="L10" i="42"/>
  <c r="J10" i="42" s="1"/>
  <c r="J8" i="42"/>
  <c r="F8" i="42"/>
  <c r="F10" i="42"/>
  <c r="J9" i="42"/>
  <c r="Z79" i="35"/>
  <c r="Z80" i="35"/>
  <c r="Z81" i="35"/>
  <c r="Z82" i="35"/>
  <c r="Z83" i="35"/>
  <c r="Z84" i="35"/>
  <c r="Z85" i="35"/>
  <c r="Z86" i="35"/>
  <c r="Z87" i="35"/>
  <c r="Z88" i="35"/>
  <c r="Z89" i="35"/>
  <c r="Y90" i="35"/>
  <c r="Z90" i="35"/>
  <c r="Y91" i="35"/>
  <c r="Z91" i="35"/>
  <c r="Y92" i="35"/>
  <c r="Z92" i="35"/>
  <c r="G81" i="35"/>
  <c r="G82" i="35"/>
  <c r="G83" i="35"/>
  <c r="G84" i="35"/>
  <c r="G85" i="35"/>
  <c r="V79" i="35"/>
  <c r="Y79" i="35" s="1"/>
  <c r="V80" i="35"/>
  <c r="Y80" i="35" s="1"/>
  <c r="V81" i="35"/>
  <c r="Y81" i="35" s="1"/>
  <c r="V82" i="35"/>
  <c r="Y82" i="35" s="1"/>
  <c r="V83" i="35"/>
  <c r="Y83" i="35" s="1"/>
  <c r="V84" i="35"/>
  <c r="Y84" i="35" s="1"/>
  <c r="V85" i="35"/>
  <c r="Y85" i="35" s="1"/>
  <c r="V86" i="35"/>
  <c r="Y86" i="35" s="1"/>
  <c r="V87" i="35"/>
  <c r="Y87" i="35" s="1"/>
  <c r="V88" i="35"/>
  <c r="Y88" i="35" s="1"/>
  <c r="V89" i="35"/>
  <c r="Y89" i="35" s="1"/>
  <c r="B94" i="35"/>
  <c r="C94" i="35"/>
  <c r="B112" i="35" s="1"/>
  <c r="D94" i="35"/>
  <c r="E94" i="35"/>
  <c r="F94" i="35"/>
  <c r="B95" i="35"/>
  <c r="C95" i="35"/>
  <c r="C112" i="35" s="1"/>
  <c r="D95" i="35"/>
  <c r="C113" i="35" s="1"/>
  <c r="E95" i="35"/>
  <c r="C114" i="35" s="1"/>
  <c r="F95" i="35"/>
  <c r="C115" i="35" s="1"/>
  <c r="B96" i="35"/>
  <c r="C96" i="35"/>
  <c r="D96" i="35"/>
  <c r="D113" i="35" s="1"/>
  <c r="E96" i="35"/>
  <c r="F96" i="35"/>
  <c r="D115" i="35" s="1"/>
  <c r="B97" i="35"/>
  <c r="E111" i="35" s="1"/>
  <c r="C97" i="35"/>
  <c r="E112" i="35" s="1"/>
  <c r="D97" i="35"/>
  <c r="E113" i="35" s="1"/>
  <c r="E97" i="35"/>
  <c r="F97" i="35"/>
  <c r="B98" i="35"/>
  <c r="C98" i="35"/>
  <c r="D98" i="35"/>
  <c r="F113" i="35" s="1"/>
  <c r="E98" i="35"/>
  <c r="F114" i="35" s="1"/>
  <c r="F98" i="35"/>
  <c r="F115" i="35" s="1"/>
  <c r="B99" i="35"/>
  <c r="C99" i="35"/>
  <c r="D99" i="35"/>
  <c r="E99" i="35"/>
  <c r="G114" i="35" s="1"/>
  <c r="F99" i="35"/>
  <c r="B100" i="35"/>
  <c r="C100" i="35"/>
  <c r="D100" i="35"/>
  <c r="H113" i="35" s="1"/>
  <c r="E100" i="35"/>
  <c r="H114" i="35" s="1"/>
  <c r="F100" i="35"/>
  <c r="B101" i="35"/>
  <c r="C101" i="35"/>
  <c r="D101" i="35"/>
  <c r="E101" i="35"/>
  <c r="F101" i="35"/>
  <c r="I115" i="35" s="1"/>
  <c r="B102" i="35"/>
  <c r="C102" i="35"/>
  <c r="D102" i="35"/>
  <c r="E102" i="35"/>
  <c r="F102" i="35"/>
  <c r="B103" i="35"/>
  <c r="C103" i="35"/>
  <c r="D103" i="35"/>
  <c r="E103" i="35"/>
  <c r="F103" i="35"/>
  <c r="B104" i="35"/>
  <c r="C104" i="35"/>
  <c r="D104" i="35"/>
  <c r="E104" i="35"/>
  <c r="F104" i="35"/>
  <c r="B105" i="35"/>
  <c r="C105" i="35"/>
  <c r="D105" i="35"/>
  <c r="E105" i="35"/>
  <c r="F105" i="35"/>
  <c r="J94" i="35"/>
  <c r="B116" i="35" s="1"/>
  <c r="J95" i="35"/>
  <c r="J96" i="35"/>
  <c r="D116" i="35" s="1"/>
  <c r="J97" i="35"/>
  <c r="E116" i="35" s="1"/>
  <c r="J98" i="35"/>
  <c r="F116" i="35" s="1"/>
  <c r="J99" i="35"/>
  <c r="J100" i="35"/>
  <c r="J101" i="35"/>
  <c r="J102" i="35"/>
  <c r="J103" i="35"/>
  <c r="J104" i="35"/>
  <c r="J105" i="35"/>
  <c r="B110" i="35"/>
  <c r="C110" i="35"/>
  <c r="D110" i="35"/>
  <c r="E110" i="35"/>
  <c r="F110" i="35"/>
  <c r="G110" i="35"/>
  <c r="H110" i="35"/>
  <c r="I110" i="35"/>
  <c r="B111" i="35"/>
  <c r="C111" i="35"/>
  <c r="D111" i="35"/>
  <c r="D112" i="35"/>
  <c r="F112" i="35"/>
  <c r="B113" i="35"/>
  <c r="G113" i="35"/>
  <c r="I113" i="35"/>
  <c r="B114" i="35"/>
  <c r="D114" i="35"/>
  <c r="E114" i="35"/>
  <c r="I114" i="35"/>
  <c r="B115" i="35"/>
  <c r="E115" i="35"/>
  <c r="G115" i="35"/>
  <c r="H115" i="35"/>
  <c r="C116" i="35"/>
  <c r="G116" i="35"/>
  <c r="H116" i="35"/>
  <c r="I116" i="35"/>
  <c r="A111" i="35"/>
  <c r="A112" i="35"/>
  <c r="A113" i="35"/>
  <c r="A114" i="35"/>
  <c r="A115" i="35"/>
  <c r="B120" i="35"/>
  <c r="B124" i="35" s="1"/>
  <c r="C124" i="35" s="1"/>
  <c r="D124" i="35" s="1"/>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299" i="39"/>
  <c r="V296" i="39"/>
  <c r="Y296" i="39" s="1"/>
  <c r="D241" i="39"/>
  <c r="D237" i="39"/>
  <c r="V324" i="39"/>
  <c r="Y324" i="39" s="1"/>
  <c r="V320" i="39"/>
  <c r="X320" i="39" s="1"/>
  <c r="V316" i="39"/>
  <c r="AB316" i="39" s="1"/>
  <c r="V312" i="39"/>
  <c r="Y312" i="39" s="1"/>
  <c r="V308" i="39"/>
  <c r="X308" i="39" s="1"/>
  <c r="V304" i="39"/>
  <c r="Y304" i="39" s="1"/>
  <c r="V300" i="39"/>
  <c r="AA300" i="39" s="1"/>
  <c r="C366" i="39"/>
  <c r="B341" i="39"/>
  <c r="B286" i="39"/>
  <c r="C256" i="39"/>
  <c r="C257" i="39"/>
  <c r="D240" i="39"/>
  <c r="Z299" i="39" s="1"/>
  <c r="F8" i="40"/>
  <c r="F9" i="40"/>
  <c r="J8" i="40"/>
  <c r="F10" i="40"/>
  <c r="J9" i="40"/>
  <c r="L10" i="40"/>
  <c r="B13" i="40"/>
  <c r="B20" i="40"/>
  <c r="B23" i="40" s="1"/>
  <c r="B26" i="40" s="1"/>
  <c r="B29" i="40" s="1"/>
  <c r="B32" i="40" s="1"/>
  <c r="B35" i="40" s="1"/>
  <c r="B38" i="40" s="1"/>
  <c r="B41" i="40" s="1"/>
  <c r="B44" i="40" s="1"/>
  <c r="B47" i="40" s="1"/>
  <c r="B50" i="40" s="1"/>
  <c r="B53" i="40" s="1"/>
  <c r="G185" i="39"/>
  <c r="F189" i="39"/>
  <c r="D209" i="39"/>
  <c r="B13" i="39"/>
  <c r="F175" i="39"/>
  <c r="Z324" i="39" l="1"/>
  <c r="Y308" i="39"/>
  <c r="X316" i="39"/>
  <c r="Y320" i="39"/>
  <c r="L176" i="39"/>
  <c r="B173" i="35"/>
  <c r="C173" i="35" s="1"/>
  <c r="D173" i="35" s="1"/>
  <c r="B158" i="35"/>
  <c r="C158" i="35" s="1"/>
  <c r="D158" i="35" s="1"/>
  <c r="B141" i="35"/>
  <c r="C141" i="35" s="1"/>
  <c r="D141" i="35" s="1"/>
  <c r="B168" i="35"/>
  <c r="C168" i="35" s="1"/>
  <c r="D168" i="35" s="1"/>
  <c r="B149" i="35"/>
  <c r="C149" i="35" s="1"/>
  <c r="D149" i="35" s="1"/>
  <c r="B170" i="35"/>
  <c r="C170" i="35" s="1"/>
  <c r="D170" i="35" s="1"/>
  <c r="B133" i="35"/>
  <c r="C133" i="35" s="1"/>
  <c r="D133" i="35" s="1"/>
  <c r="B176" i="35"/>
  <c r="C176" i="35" s="1"/>
  <c r="D176" i="35" s="1"/>
  <c r="B161" i="35"/>
  <c r="C161" i="35" s="1"/>
  <c r="D161" i="35" s="1"/>
  <c r="B146" i="35"/>
  <c r="C146" i="35" s="1"/>
  <c r="D146" i="35" s="1"/>
  <c r="B155" i="35"/>
  <c r="C155" i="35" s="1"/>
  <c r="D155" i="35" s="1"/>
  <c r="B172" i="35"/>
  <c r="C172" i="35" s="1"/>
  <c r="D172" i="35" s="1"/>
  <c r="B169" i="35"/>
  <c r="C169" i="35" s="1"/>
  <c r="D169" i="35" s="1"/>
  <c r="B167" i="35"/>
  <c r="C167" i="35" s="1"/>
  <c r="D167" i="35" s="1"/>
  <c r="B164" i="35"/>
  <c r="C164" i="35" s="1"/>
  <c r="D164" i="35" s="1"/>
  <c r="B160" i="35"/>
  <c r="C160" i="35" s="1"/>
  <c r="D160" i="35" s="1"/>
  <c r="B157" i="35"/>
  <c r="C157" i="35" s="1"/>
  <c r="D157" i="35" s="1"/>
  <c r="B154" i="35"/>
  <c r="C154" i="35" s="1"/>
  <c r="D154" i="35" s="1"/>
  <c r="B152" i="35"/>
  <c r="C152" i="35" s="1"/>
  <c r="D152" i="35" s="1"/>
  <c r="B145" i="35"/>
  <c r="C145" i="35" s="1"/>
  <c r="D145" i="35" s="1"/>
  <c r="B138" i="35"/>
  <c r="C138" i="35" s="1"/>
  <c r="D138" i="35" s="1"/>
  <c r="B130" i="35"/>
  <c r="C130" i="35" s="1"/>
  <c r="D130" i="35" s="1"/>
  <c r="B134" i="35"/>
  <c r="C134" i="35" s="1"/>
  <c r="D134" i="35" s="1"/>
  <c r="B174" i="35"/>
  <c r="C174" i="35" s="1"/>
  <c r="D174" i="35" s="1"/>
  <c r="B171" i="35"/>
  <c r="C171" i="35" s="1"/>
  <c r="D171" i="35" s="1"/>
  <c r="B165" i="35"/>
  <c r="C165" i="35" s="1"/>
  <c r="D165" i="35" s="1"/>
  <c r="B162" i="35"/>
  <c r="C162" i="35" s="1"/>
  <c r="D162" i="35" s="1"/>
  <c r="B159" i="35"/>
  <c r="C159" i="35" s="1"/>
  <c r="D159" i="35" s="1"/>
  <c r="B150" i="35"/>
  <c r="C150" i="35" s="1"/>
  <c r="D150" i="35" s="1"/>
  <c r="B147" i="35"/>
  <c r="C147" i="35" s="1"/>
  <c r="D147" i="35" s="1"/>
  <c r="B142" i="35"/>
  <c r="C142" i="35" s="1"/>
  <c r="D142" i="35" s="1"/>
  <c r="B125" i="35"/>
  <c r="C125" i="35" s="1"/>
  <c r="D125" i="35" s="1"/>
  <c r="B175" i="35"/>
  <c r="C175" i="35" s="1"/>
  <c r="D175" i="35" s="1"/>
  <c r="B166" i="35"/>
  <c r="C166" i="35" s="1"/>
  <c r="D166" i="35" s="1"/>
  <c r="B163" i="35"/>
  <c r="C163" i="35" s="1"/>
  <c r="D163" i="35" s="1"/>
  <c r="B156" i="35"/>
  <c r="C156" i="35" s="1"/>
  <c r="D156" i="35" s="1"/>
  <c r="B153" i="35"/>
  <c r="C153" i="35" s="1"/>
  <c r="D153" i="35" s="1"/>
  <c r="B151" i="35"/>
  <c r="C151" i="35" s="1"/>
  <c r="D151" i="35" s="1"/>
  <c r="B148" i="35"/>
  <c r="C148" i="35" s="1"/>
  <c r="D148" i="35" s="1"/>
  <c r="B144" i="35"/>
  <c r="C144" i="35" s="1"/>
  <c r="D144" i="35" s="1"/>
  <c r="B137" i="35"/>
  <c r="C137" i="35" s="1"/>
  <c r="D137" i="35" s="1"/>
  <c r="B126" i="35"/>
  <c r="C126" i="35" s="1"/>
  <c r="D126" i="35" s="1"/>
  <c r="C249" i="39"/>
  <c r="B143" i="35"/>
  <c r="C143" i="35" s="1"/>
  <c r="D143" i="35" s="1"/>
  <c r="B139" i="35"/>
  <c r="C139" i="35" s="1"/>
  <c r="D139" i="35" s="1"/>
  <c r="B135" i="35"/>
  <c r="C135" i="35" s="1"/>
  <c r="D135" i="35" s="1"/>
  <c r="B129" i="35"/>
  <c r="C129" i="35" s="1"/>
  <c r="D129" i="35" s="1"/>
  <c r="B131" i="35"/>
  <c r="C131" i="35" s="1"/>
  <c r="D131" i="35" s="1"/>
  <c r="B127" i="35"/>
  <c r="C127" i="35" s="1"/>
  <c r="D127" i="35" s="1"/>
  <c r="B140" i="35"/>
  <c r="C140" i="35" s="1"/>
  <c r="D140" i="35" s="1"/>
  <c r="B136" i="35"/>
  <c r="C136" i="35" s="1"/>
  <c r="D136" i="35" s="1"/>
  <c r="B132" i="35"/>
  <c r="C132" i="35" s="1"/>
  <c r="D132" i="35" s="1"/>
  <c r="B128" i="35"/>
  <c r="C128" i="35" s="1"/>
  <c r="D128" i="35" s="1"/>
  <c r="Y299" i="39"/>
  <c r="W303" i="39"/>
  <c r="AA303" i="39"/>
  <c r="Y307" i="39"/>
  <c r="W311" i="39"/>
  <c r="AA311" i="39"/>
  <c r="Z315" i="39"/>
  <c r="AA323" i="39"/>
  <c r="W323" i="39"/>
  <c r="Y319" i="39"/>
  <c r="X295" i="39"/>
  <c r="Z303" i="39"/>
  <c r="X307" i="39"/>
  <c r="Z311" i="39"/>
  <c r="Y315" i="39"/>
  <c r="X323" i="39"/>
  <c r="Z319" i="39"/>
  <c r="W295" i="39"/>
  <c r="AA295" i="39"/>
  <c r="Y303" i="39"/>
  <c r="W307" i="39"/>
  <c r="AA307" i="39"/>
  <c r="Y311" i="39"/>
  <c r="X315" i="39"/>
  <c r="Y323" i="39"/>
  <c r="AA319" i="39"/>
  <c r="W319" i="39"/>
  <c r="Z295" i="39"/>
  <c r="X303" i="39"/>
  <c r="Z307" i="39"/>
  <c r="X311" i="39"/>
  <c r="W315" i="39"/>
  <c r="AA315" i="39"/>
  <c r="Z323" i="39"/>
  <c r="X319" i="39"/>
  <c r="Y295" i="39"/>
  <c r="X296" i="39"/>
  <c r="AB296" i="39"/>
  <c r="W296" i="39"/>
  <c r="AA296" i="39"/>
  <c r="Z296" i="39"/>
  <c r="AA324" i="39"/>
  <c r="X324" i="39"/>
  <c r="Z320" i="39"/>
  <c r="AA320" i="39"/>
  <c r="Y316" i="39"/>
  <c r="W324" i="39"/>
  <c r="W320" i="39"/>
  <c r="AB324" i="39"/>
  <c r="AB320" i="39"/>
  <c r="W316" i="39"/>
  <c r="AA316" i="39"/>
  <c r="Z316" i="39"/>
  <c r="X312" i="39"/>
  <c r="AB312" i="39"/>
  <c r="W312" i="39"/>
  <c r="AA312" i="39"/>
  <c r="Z312" i="39"/>
  <c r="AB308" i="39"/>
  <c r="W308" i="39"/>
  <c r="AA308" i="39"/>
  <c r="Z308" i="39"/>
  <c r="X304" i="39"/>
  <c r="AB304" i="39"/>
  <c r="W304" i="39"/>
  <c r="AA304" i="39"/>
  <c r="Z304" i="39"/>
  <c r="X300" i="39"/>
  <c r="Y300" i="39"/>
  <c r="Z300" i="39"/>
  <c r="W299" i="39"/>
  <c r="AA299" i="39"/>
  <c r="X299" i="39"/>
  <c r="W300" i="39"/>
  <c r="AB300" i="39"/>
  <c r="C101" i="39"/>
  <c r="B104" i="39" s="1"/>
  <c r="D152" i="39"/>
  <c r="B232" i="39"/>
  <c r="B69" i="39"/>
  <c r="B124" i="39"/>
  <c r="B179" i="39"/>
  <c r="D60" i="39"/>
  <c r="B71" i="39" s="1"/>
  <c r="D172" i="39"/>
  <c r="F120" i="39"/>
  <c r="L121" i="39"/>
  <c r="J119" i="39"/>
  <c r="F119" i="39"/>
  <c r="F121" i="39"/>
  <c r="J120" i="39"/>
  <c r="F65" i="39"/>
  <c r="L66" i="39"/>
  <c r="J64" i="39"/>
  <c r="F64" i="39"/>
  <c r="F66" i="39"/>
  <c r="J227" i="39"/>
  <c r="J65" i="39"/>
  <c r="F228" i="39"/>
  <c r="L229" i="39"/>
  <c r="F227" i="39"/>
  <c r="F229" i="39"/>
  <c r="J228" i="39"/>
  <c r="F282" i="39"/>
  <c r="L283" i="39"/>
  <c r="J281" i="39"/>
  <c r="F281" i="39"/>
  <c r="F283" i="39"/>
  <c r="J282" i="39"/>
  <c r="F337" i="39"/>
  <c r="L338" i="39"/>
  <c r="J336" i="39"/>
  <c r="F336" i="39"/>
  <c r="F338" i="39"/>
  <c r="J337" i="39"/>
  <c r="D224" i="39"/>
  <c r="F9" i="39"/>
  <c r="L10" i="39"/>
  <c r="J174" i="39"/>
  <c r="J8" i="39"/>
  <c r="F174" i="39"/>
  <c r="F176" i="39"/>
  <c r="F8" i="39"/>
  <c r="F10" i="39"/>
  <c r="J175" i="39"/>
  <c r="J9" i="39"/>
  <c r="J10" i="40" l="1"/>
  <c r="J121" i="39" l="1"/>
  <c r="J229" i="39"/>
  <c r="J66" i="39"/>
  <c r="J338" i="39"/>
  <c r="J283" i="39"/>
  <c r="J176" i="39"/>
  <c r="J10" i="39"/>
  <c r="D238" i="39" l="1"/>
  <c r="C255" i="39"/>
  <c r="C250" i="39" s="1"/>
  <c r="C251" i="39" s="1"/>
  <c r="C252" i="39" l="1"/>
  <c r="AE312" i="39"/>
  <c r="C312" i="39" s="1"/>
  <c r="D312" i="39" s="1"/>
  <c r="AE328" i="39"/>
  <c r="C328" i="39" s="1"/>
  <c r="D328" i="39" s="1"/>
  <c r="AE315" i="39"/>
  <c r="C315" i="39" s="1"/>
  <c r="D315" i="39" s="1"/>
  <c r="AE302" i="39"/>
  <c r="C302" i="39" s="1"/>
  <c r="D302" i="39" s="1"/>
  <c r="AE318" i="39"/>
  <c r="C318" i="39" s="1"/>
  <c r="D318" i="39" s="1"/>
  <c r="AE301" i="39"/>
  <c r="C301" i="39" s="1"/>
  <c r="D301" i="39" s="1"/>
  <c r="AE317" i="39"/>
  <c r="C317" i="39" s="1"/>
  <c r="D317" i="39" s="1"/>
  <c r="AE308" i="39"/>
  <c r="C308" i="39" s="1"/>
  <c r="D308" i="39" s="1"/>
  <c r="AE324" i="39"/>
  <c r="C324" i="39" s="1"/>
  <c r="D324" i="39" s="1"/>
  <c r="AE311" i="39"/>
  <c r="C311" i="39" s="1"/>
  <c r="D311" i="39" s="1"/>
  <c r="AE327" i="39"/>
  <c r="C327" i="39" s="1"/>
  <c r="D327" i="39" s="1"/>
  <c r="AE314" i="39"/>
  <c r="C314" i="39" s="1"/>
  <c r="D314" i="39" s="1"/>
  <c r="AE299" i="39"/>
  <c r="C299" i="39" s="1"/>
  <c r="D299" i="39" s="1"/>
  <c r="AE313" i="39"/>
  <c r="C313" i="39" s="1"/>
  <c r="D313" i="39" s="1"/>
  <c r="AE329" i="39"/>
  <c r="C329" i="39" s="1"/>
  <c r="D329" i="39" s="1"/>
  <c r="AE300" i="39"/>
  <c r="C300" i="39" s="1"/>
  <c r="D300" i="39" s="1"/>
  <c r="AE303" i="39"/>
  <c r="C303" i="39" s="1"/>
  <c r="D303" i="39" s="1"/>
  <c r="AE306" i="39"/>
  <c r="C306" i="39" s="1"/>
  <c r="D306" i="39" s="1"/>
  <c r="AE305" i="39"/>
  <c r="C305" i="39" s="1"/>
  <c r="D305" i="39" s="1"/>
  <c r="AE304" i="39"/>
  <c r="C304" i="39" s="1"/>
  <c r="D304" i="39" s="1"/>
  <c r="AE320" i="39"/>
  <c r="C320" i="39" s="1"/>
  <c r="D320" i="39" s="1"/>
  <c r="AE307" i="39"/>
  <c r="C307" i="39" s="1"/>
  <c r="D307" i="39" s="1"/>
  <c r="AE323" i="39"/>
  <c r="C323" i="39" s="1"/>
  <c r="D323" i="39" s="1"/>
  <c r="AE310" i="39"/>
  <c r="C310" i="39" s="1"/>
  <c r="D310" i="39" s="1"/>
  <c r="AE326" i="39"/>
  <c r="C326" i="39" s="1"/>
  <c r="D326" i="39" s="1"/>
  <c r="AE309" i="39"/>
  <c r="C309" i="39" s="1"/>
  <c r="D309" i="39" s="1"/>
  <c r="AE325" i="39"/>
  <c r="C325" i="39" s="1"/>
  <c r="D325" i="39" s="1"/>
  <c r="AE316" i="39"/>
  <c r="C316" i="39" s="1"/>
  <c r="D316" i="39" s="1"/>
  <c r="AE319" i="39"/>
  <c r="C319" i="39" s="1"/>
  <c r="D319" i="39" s="1"/>
  <c r="AE322" i="39"/>
  <c r="C322" i="39" s="1"/>
  <c r="D322" i="39" s="1"/>
  <c r="AE321" i="39"/>
  <c r="C321" i="39" s="1"/>
  <c r="D321" i="39" s="1"/>
  <c r="F319" i="39" l="1"/>
  <c r="E319" i="39"/>
  <c r="K319" i="39"/>
  <c r="J319" i="39"/>
  <c r="H319" i="39"/>
  <c r="G319" i="39"/>
  <c r="I319" i="39"/>
  <c r="F320" i="39"/>
  <c r="G320" i="39"/>
  <c r="I320" i="39"/>
  <c r="K320" i="39"/>
  <c r="H320" i="39"/>
  <c r="E320" i="39"/>
  <c r="J320" i="39"/>
  <c r="E299" i="39"/>
  <c r="H299" i="39"/>
  <c r="G299" i="39"/>
  <c r="I299" i="39"/>
  <c r="K299" i="39"/>
  <c r="F299" i="39"/>
  <c r="J299" i="39"/>
  <c r="E324" i="39"/>
  <c r="J324" i="39"/>
  <c r="H324" i="39"/>
  <c r="F324" i="39"/>
  <c r="K324" i="39"/>
  <c r="I324" i="39"/>
  <c r="G324" i="39"/>
  <c r="I312" i="39"/>
  <c r="K312" i="39"/>
  <c r="F312" i="39"/>
  <c r="E312" i="39"/>
  <c r="H312" i="39"/>
  <c r="J312" i="39"/>
  <c r="G312" i="39"/>
  <c r="G322" i="39"/>
  <c r="I322" i="39"/>
  <c r="E322" i="39"/>
  <c r="K322" i="39"/>
  <c r="F322" i="39"/>
  <c r="H322" i="39"/>
  <c r="J322" i="39"/>
  <c r="H309" i="39"/>
  <c r="G309" i="39"/>
  <c r="J309" i="39"/>
  <c r="K309" i="39"/>
  <c r="E309" i="39"/>
  <c r="I309" i="39"/>
  <c r="F309" i="39"/>
  <c r="F307" i="39"/>
  <c r="J307" i="39"/>
  <c r="I307" i="39"/>
  <c r="K307" i="39"/>
  <c r="H307" i="39"/>
  <c r="E307" i="39"/>
  <c r="G307" i="39"/>
  <c r="H306" i="39"/>
  <c r="J306" i="39"/>
  <c r="E306" i="39"/>
  <c r="F306" i="39"/>
  <c r="G306" i="39"/>
  <c r="I306" i="39"/>
  <c r="K306" i="39"/>
  <c r="H313" i="39"/>
  <c r="J313" i="39"/>
  <c r="G313" i="39"/>
  <c r="E313" i="39"/>
  <c r="K313" i="39"/>
  <c r="I313" i="39"/>
  <c r="F313" i="39"/>
  <c r="J311" i="39"/>
  <c r="H311" i="39"/>
  <c r="F311" i="39"/>
  <c r="I311" i="39"/>
  <c r="G311" i="39"/>
  <c r="K311" i="39"/>
  <c r="E311" i="39"/>
  <c r="E301" i="39"/>
  <c r="H301" i="39"/>
  <c r="G301" i="39"/>
  <c r="I301" i="39"/>
  <c r="K301" i="39"/>
  <c r="F301" i="39"/>
  <c r="J301" i="39"/>
  <c r="H328" i="39"/>
  <c r="J328" i="39"/>
  <c r="E328" i="39"/>
  <c r="F328" i="39"/>
  <c r="G328" i="39"/>
  <c r="I328" i="39"/>
  <c r="K328" i="39"/>
  <c r="E321" i="39"/>
  <c r="F321" i="39"/>
  <c r="K321" i="39"/>
  <c r="H321" i="39"/>
  <c r="J321" i="39"/>
  <c r="G321" i="39"/>
  <c r="I321" i="39"/>
  <c r="K325" i="39"/>
  <c r="I325" i="39"/>
  <c r="E325" i="39"/>
  <c r="F325" i="39"/>
  <c r="G325" i="39"/>
  <c r="H325" i="39"/>
  <c r="J325" i="39"/>
  <c r="F323" i="39"/>
  <c r="G323" i="39"/>
  <c r="J323" i="39"/>
  <c r="E323" i="39"/>
  <c r="I323" i="39"/>
  <c r="H323" i="39"/>
  <c r="K323" i="39"/>
  <c r="G305" i="39"/>
  <c r="E305" i="39"/>
  <c r="K305" i="39"/>
  <c r="I305" i="39"/>
  <c r="F305" i="39"/>
  <c r="J305" i="39"/>
  <c r="H305" i="39"/>
  <c r="K329" i="39"/>
  <c r="I329" i="39"/>
  <c r="E329" i="39"/>
  <c r="F329" i="39"/>
  <c r="G329" i="39"/>
  <c r="H329" i="39"/>
  <c r="J329" i="39"/>
  <c r="G327" i="39"/>
  <c r="K327" i="39"/>
  <c r="F327" i="39"/>
  <c r="E327" i="39"/>
  <c r="J327" i="39"/>
  <c r="H327" i="39"/>
  <c r="I327" i="39"/>
  <c r="E317" i="39"/>
  <c r="F317" i="39"/>
  <c r="I317" i="39"/>
  <c r="H317" i="39"/>
  <c r="J317" i="39"/>
  <c r="G317" i="39"/>
  <c r="K317" i="39"/>
  <c r="J315" i="39"/>
  <c r="E315" i="39"/>
  <c r="G315" i="39"/>
  <c r="H315" i="39"/>
  <c r="I315" i="39"/>
  <c r="K315" i="39"/>
  <c r="F315" i="39"/>
  <c r="H326" i="39"/>
  <c r="E326" i="39"/>
  <c r="J326" i="39"/>
  <c r="G326" i="39"/>
  <c r="I326" i="39"/>
  <c r="K326" i="39"/>
  <c r="F326" i="39"/>
  <c r="F303" i="39"/>
  <c r="I303" i="39"/>
  <c r="K303" i="39"/>
  <c r="H303" i="39"/>
  <c r="G303" i="39"/>
  <c r="E303" i="39"/>
  <c r="J303" i="39"/>
  <c r="G318" i="39"/>
  <c r="I318" i="39"/>
  <c r="K318" i="39"/>
  <c r="F318" i="39"/>
  <c r="E318" i="39"/>
  <c r="J318" i="39"/>
  <c r="H318" i="39"/>
  <c r="H316" i="39"/>
  <c r="F316" i="39"/>
  <c r="E316" i="39"/>
  <c r="I316" i="39"/>
  <c r="G316" i="39"/>
  <c r="K316" i="39"/>
  <c r="J316" i="39"/>
  <c r="K310" i="39"/>
  <c r="I310" i="39"/>
  <c r="H310" i="39"/>
  <c r="F310" i="39"/>
  <c r="G310" i="39"/>
  <c r="J310" i="39"/>
  <c r="E310" i="39"/>
  <c r="K304" i="39"/>
  <c r="H304" i="39"/>
  <c r="J304" i="39"/>
  <c r="F304" i="39"/>
  <c r="E304" i="39"/>
  <c r="I304" i="39"/>
  <c r="G304" i="39"/>
  <c r="K300" i="39"/>
  <c r="G300" i="39"/>
  <c r="H300" i="39"/>
  <c r="J300" i="39"/>
  <c r="I300" i="39"/>
  <c r="F300" i="39"/>
  <c r="E300" i="39"/>
  <c r="K314" i="39"/>
  <c r="F314" i="39"/>
  <c r="J314" i="39"/>
  <c r="G314" i="39"/>
  <c r="E314" i="39"/>
  <c r="H314" i="39"/>
  <c r="I314" i="39"/>
  <c r="I308" i="39"/>
  <c r="E308" i="39"/>
  <c r="G308" i="39"/>
  <c r="F308" i="39"/>
  <c r="K308" i="39"/>
  <c r="J308" i="39"/>
  <c r="H308" i="39"/>
  <c r="J302" i="39"/>
  <c r="K302" i="39"/>
  <c r="E302" i="39"/>
  <c r="H302" i="39"/>
  <c r="G302" i="39"/>
  <c r="F302" i="39"/>
  <c r="I302" i="39"/>
</calcChain>
</file>

<file path=xl/comments1.xml><?xml version="1.0" encoding="utf-8"?>
<comments xmlns="http://schemas.openxmlformats.org/spreadsheetml/2006/main">
  <authors>
    <author>Abbott Aerospace</author>
  </authors>
  <commentList>
    <comment ref="A13" authorId="0" shapeId="0">
      <text>
        <r>
          <rPr>
            <b/>
            <sz val="9"/>
            <color indexed="81"/>
            <rFont val="Tahoma"/>
            <family val="2"/>
          </rPr>
          <t>Abbott Aerospace:</t>
        </r>
        <r>
          <rPr>
            <sz val="9"/>
            <color indexed="81"/>
            <rFont val="Tahoma"/>
            <family val="2"/>
          </rPr>
          <t xml:space="preserve">
Page title on this line</t>
        </r>
      </text>
    </comment>
  </commentList>
</comments>
</file>

<file path=xl/comments2.xml><?xml version="1.0" encoding="utf-8"?>
<comments xmlns="http://schemas.openxmlformats.org/spreadsheetml/2006/main">
  <authors>
    <author>Abbott Aerospace</author>
  </authors>
  <commentList>
    <comment ref="A13" authorId="0" shapeId="0">
      <text>
        <r>
          <rPr>
            <b/>
            <sz val="9"/>
            <color indexed="81"/>
            <rFont val="Tahoma"/>
            <family val="2"/>
          </rPr>
          <t>Abbott Aerospace:</t>
        </r>
        <r>
          <rPr>
            <sz val="9"/>
            <color indexed="81"/>
            <rFont val="Tahoma"/>
            <family val="2"/>
          </rPr>
          <t xml:space="preserve">
Page title on this line</t>
        </r>
      </text>
    </comment>
  </commentList>
</comments>
</file>

<file path=xl/comments3.xml><?xml version="1.0" encoding="utf-8"?>
<comments xmlns="http://schemas.openxmlformats.org/spreadsheetml/2006/main">
  <authors>
    <author>Abbott Aerospace</author>
  </authors>
  <commentList>
    <comment ref="A13" authorId="0" shapeId="0">
      <text>
        <r>
          <rPr>
            <b/>
            <sz val="9"/>
            <color indexed="81"/>
            <rFont val="Tahoma"/>
            <family val="2"/>
          </rPr>
          <t>Abbott Aerospace:</t>
        </r>
        <r>
          <rPr>
            <sz val="9"/>
            <color indexed="81"/>
            <rFont val="Tahoma"/>
            <family val="2"/>
          </rPr>
          <t xml:space="preserve">
Page title on this line</t>
        </r>
      </text>
    </comment>
    <comment ref="A69" authorId="0" shapeId="0">
      <text>
        <r>
          <rPr>
            <b/>
            <sz val="9"/>
            <color indexed="81"/>
            <rFont val="Tahoma"/>
            <family val="2"/>
          </rPr>
          <t>Abbott Aerospace:</t>
        </r>
        <r>
          <rPr>
            <sz val="9"/>
            <color indexed="81"/>
            <rFont val="Tahoma"/>
            <family val="2"/>
          </rPr>
          <t xml:space="preserve">
Page title on this line</t>
        </r>
      </text>
    </comment>
    <comment ref="A124" authorId="0" shapeId="0">
      <text>
        <r>
          <rPr>
            <b/>
            <sz val="9"/>
            <color indexed="81"/>
            <rFont val="Tahoma"/>
            <family val="2"/>
          </rPr>
          <t>Abbott Aerospace:</t>
        </r>
        <r>
          <rPr>
            <sz val="9"/>
            <color indexed="81"/>
            <rFont val="Tahoma"/>
            <family val="2"/>
          </rPr>
          <t xml:space="preserve">
Page title on this line</t>
        </r>
      </text>
    </comment>
    <comment ref="A179" authorId="0" shapeId="0">
      <text>
        <r>
          <rPr>
            <b/>
            <sz val="9"/>
            <color indexed="81"/>
            <rFont val="Tahoma"/>
            <family val="2"/>
          </rPr>
          <t>Abbott Aerospace:</t>
        </r>
        <r>
          <rPr>
            <sz val="9"/>
            <color indexed="81"/>
            <rFont val="Tahoma"/>
            <family val="2"/>
          </rPr>
          <t xml:space="preserve">
Page title on this line</t>
        </r>
      </text>
    </comment>
    <comment ref="A232" authorId="0" shapeId="0">
      <text>
        <r>
          <rPr>
            <b/>
            <sz val="9"/>
            <color indexed="81"/>
            <rFont val="Tahoma"/>
            <family val="2"/>
          </rPr>
          <t>Abbott Aerospace:</t>
        </r>
        <r>
          <rPr>
            <sz val="9"/>
            <color indexed="81"/>
            <rFont val="Tahoma"/>
            <family val="2"/>
          </rPr>
          <t xml:space="preserve">
Page title on this line</t>
        </r>
      </text>
    </comment>
    <comment ref="A286" authorId="0" shapeId="0">
      <text>
        <r>
          <rPr>
            <b/>
            <sz val="9"/>
            <color indexed="81"/>
            <rFont val="Tahoma"/>
            <family val="2"/>
          </rPr>
          <t>Abbott Aerospace:</t>
        </r>
        <r>
          <rPr>
            <sz val="9"/>
            <color indexed="81"/>
            <rFont val="Tahoma"/>
            <family val="2"/>
          </rPr>
          <t xml:space="preserve">
Page title on this line</t>
        </r>
      </text>
    </comment>
    <comment ref="A341" authorId="0" shapeId="0">
      <text>
        <r>
          <rPr>
            <b/>
            <sz val="9"/>
            <color indexed="81"/>
            <rFont val="Tahoma"/>
            <family val="2"/>
          </rPr>
          <t>Abbott Aerospace:</t>
        </r>
        <r>
          <rPr>
            <sz val="9"/>
            <color indexed="81"/>
            <rFont val="Tahoma"/>
            <family val="2"/>
          </rPr>
          <t xml:space="preserve">
Page title on this line</t>
        </r>
      </text>
    </comment>
  </commentList>
</comments>
</file>

<file path=xl/sharedStrings.xml><?xml version="1.0" encoding="utf-8"?>
<sst xmlns="http://schemas.openxmlformats.org/spreadsheetml/2006/main" count="362" uniqueCount="214">
  <si>
    <t>L =</t>
  </si>
  <si>
    <t>Altitude</t>
  </si>
  <si>
    <t>T =</t>
  </si>
  <si>
    <t>p =</t>
  </si>
  <si>
    <t>Basic Wing Data</t>
  </si>
  <si>
    <t>Airplane Constants</t>
  </si>
  <si>
    <t>Physical Constants</t>
  </si>
  <si>
    <t>Date:</t>
  </si>
  <si>
    <t>A</t>
  </si>
  <si>
    <t>Revision:</t>
  </si>
  <si>
    <t>R. Abbott</t>
  </si>
  <si>
    <t>ft, Wing Tip Chord</t>
  </si>
  <si>
    <t>F/ft, Temperature Lapse Rate</t>
  </si>
  <si>
    <t>F, Sea Level Standard Temperature</t>
  </si>
  <si>
    <t>ft</t>
  </si>
  <si>
    <t>F, Temperature at altitude</t>
  </si>
  <si>
    <t>ρ =</t>
  </si>
  <si>
    <t>ft, Wing Root Chord</t>
  </si>
  <si>
    <t>ft, Wing Span</t>
  </si>
  <si>
    <t>ft, Wing Airfoil Thickness</t>
  </si>
  <si>
    <t>lb</t>
  </si>
  <si>
    <t>Velocity</t>
  </si>
  <si>
    <t>h</t>
  </si>
  <si>
    <t>(ft)</t>
  </si>
  <si>
    <t>Section:</t>
  </si>
  <si>
    <t>deg</t>
  </si>
  <si>
    <t>ft, Maximum Service Ceiling</t>
  </si>
  <si>
    <t>lb, Maximum Design Take-off Weight</t>
  </si>
  <si>
    <t>Lift</t>
  </si>
  <si>
    <t>Aug 2010</t>
  </si>
  <si>
    <t>α</t>
  </si>
  <si>
    <t>Lift coefficient may be used to relate the total lift generated by an aircraft to the total area of the wing of the aircraft. In this application it is called the aircraft or planform lift coefficient </t>
  </si>
  <si>
    <t>The lift coefficient </t>
  </si>
  <si>
    <r>
      <t> is equal to:</t>
    </r>
    <r>
      <rPr>
        <vertAlign val="superscript"/>
        <sz val="10"/>
        <color rgb="FF0645AD"/>
        <rFont val="Arial"/>
        <family val="2"/>
      </rPr>
      <t>[2][3]</t>
    </r>
  </si>
  <si>
    <t>Section lift coefficient</t>
  </si>
  <si>
    <t>A typical curve showing section lift coefficient versus angle of attack for a cambered airfoil</t>
  </si>
  <si>
    <t>Lift coefficient may also be used as a characteristic of a particular shape (or cross-section) of an airfoil. In this application it is called the section lift coefficient </t>
  </si>
  <si>
    <r>
      <t> It is common to show, for a particular airfoil section, the relationship between section lift coefficient and </t>
    </r>
    <r>
      <rPr>
        <sz val="10"/>
        <color rgb="FF0645AD"/>
        <rFont val="Arial"/>
        <family val="2"/>
      </rPr>
      <t>angle of attack</t>
    </r>
    <r>
      <rPr>
        <sz val="10"/>
        <color rgb="FF000000"/>
        <rFont val="Arial"/>
        <family val="2"/>
      </rPr>
      <t>.</t>
    </r>
    <r>
      <rPr>
        <vertAlign val="superscript"/>
        <sz val="10"/>
        <color rgb="FF0645AD"/>
        <rFont val="Arial"/>
        <family val="2"/>
      </rPr>
      <t>[5]</t>
    </r>
    <r>
      <rPr>
        <sz val="10"/>
        <color rgb="FF000000"/>
        <rFont val="Arial"/>
        <family val="2"/>
      </rPr>
      <t> It is also useful to show the relationship between section lift coefficient and </t>
    </r>
    <r>
      <rPr>
        <sz val="10"/>
        <color rgb="FF0B0080"/>
        <rFont val="Arial"/>
        <family val="2"/>
      </rPr>
      <t>drag coefficient</t>
    </r>
    <r>
      <rPr>
        <sz val="10"/>
        <color rgb="FF000000"/>
        <rFont val="Arial"/>
        <family val="2"/>
      </rPr>
      <t>.</t>
    </r>
  </si>
  <si>
    <t>The section lift coefficient is based on the concept of an infinite wing of non-varying cross-section, the lift of which is bereft of any three-dimensional effects - in other words the lift on a 2D section. It is not relevant to define the section lift coefficient in terms of total lift and total area because they are infinitely large. Rather, the lift is defined per unit span of the wing </t>
  </si>
  <si>
    <t> In such a situation, the above formula becomes:</t>
  </si>
  <si>
    <t>Ref NASA-TN-D-970, Carter:</t>
  </si>
  <si>
    <t>Aircraft Weight =</t>
  </si>
  <si>
    <t>h/c</t>
  </si>
  <si>
    <t>For wing aspect ratio = 2</t>
  </si>
  <si>
    <t>CL</t>
  </si>
  <si>
    <t>inf</t>
  </si>
  <si>
    <r>
      <t>y = 0.0155x</t>
    </r>
    <r>
      <rPr>
        <vertAlign val="superscript"/>
        <sz val="10"/>
        <color rgb="FF000000"/>
        <rFont val="Arial"/>
        <family val="2"/>
      </rPr>
      <t>2</t>
    </r>
    <r>
      <rPr>
        <sz val="10"/>
        <color rgb="FF000000"/>
        <rFont val="Arial"/>
        <family val="2"/>
      </rPr>
      <t xml:space="preserve"> + 0.2236x + 0.5749 </t>
    </r>
  </si>
  <si>
    <r>
      <t>y = 0.0026x</t>
    </r>
    <r>
      <rPr>
        <vertAlign val="superscript"/>
        <sz val="10"/>
        <color rgb="FF000000"/>
        <rFont val="Arial"/>
        <family val="2"/>
      </rPr>
      <t>2</t>
    </r>
    <r>
      <rPr>
        <sz val="10"/>
        <color rgb="FF000000"/>
        <rFont val="Arial"/>
        <family val="2"/>
      </rPr>
      <t xml:space="preserve"> + 0.1315x + 0.5686 </t>
    </r>
  </si>
  <si>
    <t xml:space="preserve">y = 0.087x + 0.5755 </t>
  </si>
  <si>
    <t xml:space="preserve">y = 0.0641x + 0.5634 </t>
  </si>
  <si>
    <t xml:space="preserve">y = 0.0509x + 0.5391 </t>
  </si>
  <si>
    <t>Wing Area =</t>
  </si>
  <si>
    <t>y = 0.0586x + 0.5669</t>
  </si>
  <si>
    <t>Chord =</t>
  </si>
  <si>
    <t>h (ft)</t>
  </si>
  <si>
    <t>ft/sec</t>
  </si>
  <si>
    <t>at sea level</t>
  </si>
  <si>
    <t>height</t>
  </si>
  <si>
    <t>Mph</t>
  </si>
  <si>
    <t>Aspect Ratio =</t>
  </si>
  <si>
    <t>sqft</t>
  </si>
  <si>
    <t>span =</t>
  </si>
  <si>
    <t>h/b</t>
  </si>
  <si>
    <t>span (b) =</t>
  </si>
  <si>
    <t>σ</t>
  </si>
  <si>
    <t>1/(1-σ)</t>
  </si>
  <si>
    <t>In ground effect at 0 deg angle of attack the centre of lift was at approx 0.5. chord, out of ground effect it was at 0.25 chord</t>
  </si>
  <si>
    <t>Centre of lift change</t>
  </si>
  <si>
    <t>Profile drag is unchanged by ground effect</t>
  </si>
  <si>
    <t>Profile Drag</t>
  </si>
  <si>
    <t>CD</t>
  </si>
  <si>
    <t xml:space="preserve"> </t>
  </si>
  <si>
    <t>Author:</t>
  </si>
  <si>
    <t>Total Pages:</t>
  </si>
  <si>
    <t>Check:</t>
  </si>
  <si>
    <t>Report:</t>
  </si>
  <si>
    <t>Section Title:</t>
  </si>
  <si>
    <t>GENERAL</t>
  </si>
  <si>
    <t>Document Number:</t>
  </si>
  <si>
    <t>Revision Level :</t>
  </si>
  <si>
    <t>Page:</t>
  </si>
  <si>
    <t>Project Specific Reference</t>
  </si>
  <si>
    <t>Niu, Michael C. Y.,  Airframe Stress Analysis and Sizing, Hong Kong Conkilt Press Ltd., Oct 1997, First Edition</t>
  </si>
  <si>
    <t>Shigley, J. and Mitchell, L., Mechanical Engineering Design, McGraw-Hill Book Company, Fourth Edition.</t>
  </si>
  <si>
    <t>Roark, Raymond J. and Young, Warren C., FORMULAS FOR STRESS AND STRAIN, McGraw-Hill Book Company, New York, N.Y., Copyright 1982, Sixth Edition.</t>
  </si>
  <si>
    <t>Bruhn, E.F., ANALYSIS AND DESIGN OF FLIGHT VEHICLE STRUCTURES, S.R. Jacobs &amp; Associates, Inc., Indianapolis, Indiana, 1973.</t>
  </si>
  <si>
    <t>Department of Transportation, Federal Aviation Administration, Office of Aviation Research, Document DOT/FAA/AIR-MMPDS-01, “Metallic Properties Development and Standardization”, dated January 2003.</t>
  </si>
  <si>
    <t>TITLE</t>
  </si>
  <si>
    <t>NUMBER</t>
  </si>
  <si>
    <t>REFERENCES AND APPLICABLE DOCUMENTS</t>
  </si>
  <si>
    <t>NACA Technical Memorandum No. 77, Wing Resistance Near The Ground, C. Weiselberger. April 1922</t>
  </si>
  <si>
    <t>NASA Technical Note D-970, Effect of ground proximity on the aerodynamic charactertics of aspect ratio-1 airfoils with and without end plates, Carter, October 1961</t>
  </si>
  <si>
    <t>Basic Characteristics of lifting surfaces in ground effect:</t>
  </si>
  <si>
    <t>NACA Technical Note 1973, Theoretical Spanwise Lift Distributions of low-aspect-ratio wings at speeds below and above the speed of sound, Diederich &amp; Zlotnick, October 1949</t>
  </si>
  <si>
    <t>Ref [9]</t>
  </si>
  <si>
    <t>NASA Technical Note D-926, Aerodynamic Characteristics of low-aspect-ratio wings in close proximity to the ground. Fink &amp; Lastinger, July 1961</t>
  </si>
  <si>
    <t>For this assessment a wing aspect ratio of 2 will be used. The data from ref [8] will be used to determine the effect of proximity to the ground on the lift and drag coefficients.</t>
  </si>
  <si>
    <t>Digitization of Figure 5 (partial) ref [8]</t>
  </si>
  <si>
    <t>Coefficient of lift plotted against height above ground/wing chord for different angles of attack</t>
  </si>
  <si>
    <t>These results can be confirmed by the equation on page 7 of ref [9]</t>
  </si>
  <si>
    <t>General Dimensions for Sample WIG Vehicle</t>
  </si>
  <si>
    <t>For a sample wing geometry (Wing Span = 20ft, see next page) the ground influence coefficient and the change in lift/drag ratio with height are plotted below.</t>
  </si>
  <si>
    <t>WIG Sample Craft - Basic Layout</t>
  </si>
  <si>
    <t>The data for the aspect ratio = 2 wing that was taken from ref [8] can be used to predict the performance of a sample vehicle.</t>
  </si>
  <si>
    <t>For level flight the lift force 'L' must equal the aircraft weight</t>
  </si>
  <si>
    <t>Note that the altitude used to determine the air density will not be changed with the ground effect flight altitude as the changes are very small within the ground effect flight range.</t>
  </si>
  <si>
    <t>CL req.</t>
  </si>
  <si>
    <t>to maintain</t>
  </si>
  <si>
    <t>altitude</t>
  </si>
  <si>
    <t>The resulting coefficient of lift can be compared to the digitised data from ref [8] for a given angle of attach and wing chord length to determine height of the WIG craft in ground effect flight.</t>
  </si>
  <si>
    <t>Ref [8]</t>
  </si>
  <si>
    <t>The sample craft used is a universal hovercraft 18SP/W hoverwing.</t>
  </si>
  <si>
    <t>α = 1</t>
  </si>
  <si>
    <t>α = 2</t>
  </si>
  <si>
    <t>α = 3</t>
  </si>
  <si>
    <t>α = 4</t>
  </si>
  <si>
    <t>α = 5</t>
  </si>
  <si>
    <t>α = 6</t>
  </si>
  <si>
    <t>α = 7</t>
  </si>
  <si>
    <t>For the sample craft the wings have a leading edge up angle of attack of 5.189 degrees, a range of craft angles of attack will be examined</t>
  </si>
  <si>
    <t>Coefficient of lift required to maintain height plotted against speed for sample configuration, height of sample craft within ground effect assuming a nose up attitude of 1-7deg, vs speed.</t>
  </si>
  <si>
    <t>The manufacturers performance figures are as follows:</t>
  </si>
  <si>
    <t>Specifications</t>
  </si>
  <si>
    <t>UH-18SP Hovercraft</t>
  </si>
  <si>
    <t>UH-18SPW Hoverwing™</t>
  </si>
  <si>
    <t>Capacity</t>
  </si>
  <si>
    <t>6 Persons (1000 Lbs)</t>
  </si>
  <si>
    <t>2 to 3 Persons (550 Lbs)</t>
  </si>
  <si>
    <t>Max Speed</t>
  </si>
  <si>
    <t>75 mph</t>
  </si>
  <si>
    <t>Hover Height</t>
  </si>
  <si>
    <t>8 inches</t>
  </si>
  <si>
    <t>Max Altitude</t>
  </si>
  <si>
    <t>N/A</t>
  </si>
  <si>
    <t>10 ft</t>
  </si>
  <si>
    <t>Length</t>
  </si>
  <si>
    <t>18 ft 10 in</t>
  </si>
  <si>
    <t>23 ft 10 in</t>
  </si>
  <si>
    <t>Width</t>
  </si>
  <si>
    <t>7 ft 6 in</t>
  </si>
  <si>
    <t>20 ft 2 in</t>
  </si>
  <si>
    <t>Empty Weight</t>
  </si>
  <si>
    <t>800 Lbs</t>
  </si>
  <si>
    <t>844 Lbs</t>
  </si>
  <si>
    <t>Climb Gradient</t>
  </si>
  <si>
    <t>33 to 40%</t>
  </si>
  <si>
    <t>33 to 35%</t>
  </si>
  <si>
    <t>Recommended Engine</t>
  </si>
  <si>
    <t>85+ EA-81, EA-82, or EJ-22 Subaru</t>
  </si>
  <si>
    <t>Construction Method</t>
  </si>
  <si>
    <t>Foam and Plywood Composite</t>
  </si>
  <si>
    <t>Construction Time</t>
  </si>
  <si>
    <t>250 hours</t>
  </si>
  <si>
    <t>275 hours</t>
  </si>
  <si>
    <t>Wing angle of Incidence =</t>
  </si>
  <si>
    <t>Ref (http://www.hovercraft.com/content/index.php?main_page=index&amp;cPath=53)</t>
  </si>
  <si>
    <t>ft, Wing Span (effective span due to wide body)</t>
  </si>
  <si>
    <t>The figures derived on the previous page show that the craft will  want to start to enter ground effect flight at around 50 mph and will have a cruising altitude of about 6 feet at around 60-70mph depending on the angle of attack.</t>
  </si>
  <si>
    <t>The aim of this report is to produce preliminary performance estimates and design load cases for a wing in ground effect craft. The performance estimates will draw on the research work in refs [7], [8] and [9]. The load derivation will assume that the wing lift behaves as if the wing is partially continuous through the wide body of the craft (the actual wing span of 20ft has been reduced to an effective wing span of 16ft) and the spanwise distribution is approximated using Schrenk.</t>
  </si>
  <si>
    <t>α = 0</t>
  </si>
  <si>
    <t>mph</t>
  </si>
  <si>
    <t>The effect on the Lift.Drag ratio can the be calculated with this equation from ref [9]</t>
  </si>
  <si>
    <t>Not Used</t>
  </si>
  <si>
    <t>Aircraft Parameters</t>
  </si>
  <si>
    <t>Max Speed =</t>
  </si>
  <si>
    <t>25/04/2009</t>
  </si>
  <si>
    <t>IR</t>
  </si>
  <si>
    <t>Operating Angles of attack</t>
  </si>
  <si>
    <t>Wing should only be operated at positive angles of attack - a reduction in height causes a loss in lift at negative angles of attack</t>
  </si>
  <si>
    <t>The different traces correspond to different h/c ratios (height/chord)</t>
  </si>
  <si>
    <t xml:space="preserve">Assuming basic airfoil characteristics similar to that investigated in ref [8] the for a range of speeds and angles of attacks the 'cruise' altitude for a sample ground effect vehicle can be determined. </t>
  </si>
  <si>
    <t>It can be seen that the calculated performance is within the manufacturers limits and can be assessed as a realistic prediction of performance for a vehicle of this configuration.</t>
  </si>
  <si>
    <t>For a given velocity (at a certain altitude and resulting air density) the CL can be calculated that is required to produce a lift force equal to the weight of the WIG craft.</t>
  </si>
  <si>
    <t>AA-SM-221</t>
  </si>
  <si>
    <t>Total Report Pages:</t>
  </si>
  <si>
    <t>Section Number:</t>
  </si>
  <si>
    <t>Sheet Name</t>
  </si>
  <si>
    <t>IMPORTANT INFORMATION</t>
  </si>
  <si>
    <t>Report Title:</t>
  </si>
  <si>
    <t>About us:</t>
  </si>
  <si>
    <t xml:space="preserve"> spreadsheets@abbottaerospace.com</t>
  </si>
  <si>
    <t>Proprietary information:</t>
  </si>
  <si>
    <r>
      <t>For h/b values (h: Height above ground, b: wing span) between .033 and .25 the ground influence coefficient, σ</t>
    </r>
    <r>
      <rPr>
        <sz val="11.5"/>
        <rFont val="Calibri"/>
        <family val="2"/>
        <scheme val="minor"/>
      </rPr>
      <t>,</t>
    </r>
    <r>
      <rPr>
        <sz val="10"/>
        <rFont val="Calibri"/>
        <family val="2"/>
        <scheme val="minor"/>
      </rPr>
      <t xml:space="preserve"> can be calculated:</t>
    </r>
  </si>
  <si>
    <r>
      <t>b</t>
    </r>
    <r>
      <rPr>
        <vertAlign val="subscript"/>
        <sz val="10"/>
        <rFont val="Calibri"/>
        <family val="2"/>
        <scheme val="minor"/>
      </rPr>
      <t>wing</t>
    </r>
    <r>
      <rPr>
        <sz val="10"/>
        <rFont val="Calibri"/>
        <family val="2"/>
        <scheme val="minor"/>
      </rPr>
      <t xml:space="preserve"> =</t>
    </r>
  </si>
  <si>
    <r>
      <t>c</t>
    </r>
    <r>
      <rPr>
        <vertAlign val="subscript"/>
        <sz val="10"/>
        <rFont val="Calibri"/>
        <family val="2"/>
        <scheme val="minor"/>
      </rPr>
      <t>wing.root</t>
    </r>
    <r>
      <rPr>
        <sz val="10"/>
        <rFont val="Calibri"/>
        <family val="2"/>
        <scheme val="minor"/>
      </rPr>
      <t xml:space="preserve"> =</t>
    </r>
  </si>
  <si>
    <r>
      <t>c</t>
    </r>
    <r>
      <rPr>
        <vertAlign val="subscript"/>
        <sz val="10"/>
        <rFont val="Calibri"/>
        <family val="2"/>
        <scheme val="minor"/>
      </rPr>
      <t>wing.tip</t>
    </r>
    <r>
      <rPr>
        <sz val="10"/>
        <rFont val="Calibri"/>
        <family val="2"/>
        <scheme val="minor"/>
      </rPr>
      <t xml:space="preserve"> =</t>
    </r>
  </si>
  <si>
    <r>
      <t>lb/ft</t>
    </r>
    <r>
      <rPr>
        <vertAlign val="superscript"/>
        <sz val="10"/>
        <color theme="1"/>
        <rFont val="Calibri"/>
        <family val="2"/>
        <scheme val="minor"/>
      </rPr>
      <t>2</t>
    </r>
    <r>
      <rPr>
        <sz val="10"/>
        <color theme="1"/>
        <rFont val="Calibri"/>
        <family val="2"/>
        <scheme val="minor"/>
      </rPr>
      <t>. Pressure At Altitude</t>
    </r>
  </si>
  <si>
    <r>
      <t>slugs/ft</t>
    </r>
    <r>
      <rPr>
        <vertAlign val="superscript"/>
        <sz val="10"/>
        <rFont val="Calibri"/>
        <family val="2"/>
        <scheme val="minor"/>
      </rPr>
      <t>3</t>
    </r>
    <r>
      <rPr>
        <sz val="10"/>
        <rFont val="Calibri"/>
        <family val="2"/>
        <scheme val="minor"/>
      </rPr>
      <t>, Air Density at Altitude</t>
    </r>
  </si>
  <si>
    <r>
      <t>lbs/ft</t>
    </r>
    <r>
      <rPr>
        <vertAlign val="superscript"/>
        <sz val="10"/>
        <rFont val="Calibri"/>
        <family val="2"/>
        <scheme val="minor"/>
      </rPr>
      <t>3</t>
    </r>
    <r>
      <rPr>
        <sz val="10"/>
        <rFont val="Calibri"/>
        <family val="2"/>
        <scheme val="minor"/>
      </rPr>
      <t>, Air Density at Altitude</t>
    </r>
  </si>
  <si>
    <r>
      <t>r</t>
    </r>
    <r>
      <rPr>
        <vertAlign val="subscript"/>
        <sz val="10"/>
        <color theme="1"/>
        <rFont val="Calibri"/>
        <family val="2"/>
        <scheme val="minor"/>
      </rPr>
      <t>0</t>
    </r>
    <r>
      <rPr>
        <sz val="10"/>
        <color theme="1"/>
        <rFont val="Calibri"/>
        <family val="2"/>
        <scheme val="minor"/>
      </rPr>
      <t xml:space="preserve"> =</t>
    </r>
  </si>
  <si>
    <r>
      <t>lb/ft</t>
    </r>
    <r>
      <rPr>
        <vertAlign val="superscript"/>
        <sz val="10"/>
        <color theme="1"/>
        <rFont val="Calibri"/>
        <family val="2"/>
        <scheme val="minor"/>
      </rPr>
      <t>2</t>
    </r>
    <r>
      <rPr>
        <sz val="10"/>
        <color theme="1"/>
        <rFont val="Calibri"/>
        <family val="2"/>
        <scheme val="minor"/>
      </rPr>
      <t>, Sea Level Standard Atmospheric Pressure</t>
    </r>
  </si>
  <si>
    <r>
      <t>T</t>
    </r>
    <r>
      <rPr>
        <vertAlign val="subscript"/>
        <sz val="10"/>
        <color theme="1"/>
        <rFont val="Calibri"/>
        <family val="2"/>
        <scheme val="minor"/>
      </rPr>
      <t>0</t>
    </r>
    <r>
      <rPr>
        <sz val="10"/>
        <color theme="1"/>
        <rFont val="Calibri"/>
        <family val="2"/>
        <scheme val="minor"/>
      </rPr>
      <t xml:space="preserve"> =</t>
    </r>
  </si>
  <si>
    <r>
      <t>A</t>
    </r>
    <r>
      <rPr>
        <vertAlign val="subscript"/>
        <sz val="10"/>
        <color theme="1"/>
        <rFont val="Calibri"/>
        <family val="2"/>
        <scheme val="minor"/>
      </rPr>
      <t>max</t>
    </r>
    <r>
      <rPr>
        <sz val="10"/>
        <color theme="1"/>
        <rFont val="Calibri"/>
        <family val="2"/>
        <scheme val="minor"/>
      </rPr>
      <t xml:space="preserve"> =</t>
    </r>
  </si>
  <si>
    <r>
      <t>m</t>
    </r>
    <r>
      <rPr>
        <vertAlign val="subscript"/>
        <sz val="10"/>
        <rFont val="Calibri"/>
        <family val="2"/>
        <scheme val="minor"/>
      </rPr>
      <t>max</t>
    </r>
    <r>
      <rPr>
        <sz val="10"/>
        <rFont val="Calibri"/>
        <family val="2"/>
        <scheme val="minor"/>
      </rPr>
      <t xml:space="preserve"> =</t>
    </r>
  </si>
  <si>
    <r>
      <t>t</t>
    </r>
    <r>
      <rPr>
        <vertAlign val="subscript"/>
        <sz val="10"/>
        <rFont val="Calibri"/>
        <family val="2"/>
        <scheme val="minor"/>
      </rPr>
      <t>wing</t>
    </r>
    <r>
      <rPr>
        <sz val="10"/>
        <rFont val="Calibri"/>
        <family val="2"/>
        <scheme val="minor"/>
      </rPr>
      <t xml:space="preserve"> =</t>
    </r>
  </si>
  <si>
    <r>
      <t>s</t>
    </r>
    <r>
      <rPr>
        <vertAlign val="subscript"/>
        <sz val="10"/>
        <rFont val="Calibri"/>
        <family val="2"/>
        <scheme val="minor"/>
      </rPr>
      <t>wing</t>
    </r>
    <r>
      <rPr>
        <sz val="10"/>
        <rFont val="Calibri"/>
        <family val="2"/>
        <scheme val="minor"/>
      </rPr>
      <t xml:space="preserve"> =</t>
    </r>
  </si>
  <si>
    <r>
      <t>ft</t>
    </r>
    <r>
      <rPr>
        <vertAlign val="superscript"/>
        <sz val="10"/>
        <rFont val="Calibri"/>
        <family val="2"/>
        <scheme val="minor"/>
      </rPr>
      <t>2</t>
    </r>
    <r>
      <rPr>
        <sz val="10"/>
        <color theme="1"/>
        <rFont val="Calibri"/>
        <family val="2"/>
        <scheme val="minor"/>
      </rPr>
      <t>, Total Wing Area</t>
    </r>
  </si>
  <si>
    <r>
      <t>slugs/ft</t>
    </r>
    <r>
      <rPr>
        <vertAlign val="superscript"/>
        <sz val="10"/>
        <rFont val="Calibri"/>
        <family val="2"/>
        <scheme val="minor"/>
      </rPr>
      <t>3</t>
    </r>
    <r>
      <rPr>
        <sz val="10"/>
        <rFont val="Calibri"/>
        <family val="2"/>
        <scheme val="minor"/>
      </rPr>
      <t>, Air Density at Sea Level</t>
    </r>
  </si>
  <si>
    <r>
      <t>lbs/ft</t>
    </r>
    <r>
      <rPr>
        <vertAlign val="superscript"/>
        <sz val="10"/>
        <rFont val="Calibri"/>
        <family val="2"/>
        <scheme val="minor"/>
      </rPr>
      <t>3</t>
    </r>
    <r>
      <rPr>
        <sz val="10"/>
        <rFont val="Calibri"/>
        <family val="2"/>
        <scheme val="minor"/>
      </rPr>
      <t>, Air Density at Sea Level</t>
    </r>
  </si>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</sst>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
  </numFmts>
  <fonts count="43" x14ac:knownFonts="1">
    <font>
      <sz val="10"/>
      <color theme="1"/>
      <name val="Arial"/>
      <family val="2"/>
    </font>
    <font>
      <sz val="10"/>
      <name val="Arial"/>
      <family val="2"/>
    </font>
    <font>
      <sz val="10"/>
      <color rgb="FF000000"/>
      <name val="Arial"/>
      <family val="2"/>
    </font>
    <font>
      <sz val="11"/>
      <color theme="1"/>
      <name val="Calibri"/>
      <family val="2"/>
      <scheme val="minor"/>
    </font>
    <font>
      <sz val="9"/>
      <color indexed="81"/>
      <name val="Tahoma"/>
      <family val="2"/>
    </font>
    <font>
      <b/>
      <sz val="9"/>
      <color indexed="81"/>
      <name val="Tahoma"/>
      <family val="2"/>
    </font>
    <font>
      <sz val="10"/>
      <color rgb="FF0B0080"/>
      <name val="Arial"/>
      <family val="2"/>
    </font>
    <font>
      <vertAlign val="superscript"/>
      <sz val="10"/>
      <color rgb="FF000000"/>
      <name val="Arial"/>
      <family val="2"/>
    </font>
    <font>
      <vertAlign val="superscript"/>
      <sz val="10"/>
      <color rgb="FF0645AD"/>
      <name val="Arial"/>
      <family val="2"/>
    </font>
    <font>
      <u/>
      <sz val="8.5"/>
      <color theme="10"/>
      <name val="Arial"/>
      <family val="2"/>
    </font>
    <font>
      <sz val="14"/>
      <color rgb="FF000000"/>
      <name val="Arial"/>
      <family val="2"/>
    </font>
    <font>
      <sz val="9"/>
      <color rgb="FF0645AD"/>
      <name val="Arial"/>
      <family val="2"/>
    </font>
    <font>
      <sz val="8"/>
      <color rgb="FF000000"/>
      <name val="Arial"/>
      <family val="2"/>
    </font>
    <font>
      <sz val="8"/>
      <color rgb="FF0645AD"/>
      <name val="Arial"/>
      <family val="2"/>
    </font>
    <font>
      <sz val="10"/>
      <color rgb="FF0645AD"/>
      <name val="Arial"/>
      <family val="2"/>
    </font>
    <font>
      <i/>
      <sz val="8"/>
      <color theme="1" tint="0.34998626667073579"/>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b/>
      <sz val="10"/>
      <color indexed="10"/>
      <name val="Calibri"/>
      <family val="2"/>
      <scheme val="minor"/>
    </font>
    <font>
      <b/>
      <sz val="12"/>
      <color indexed="12"/>
      <name val="Calibri"/>
      <family val="2"/>
      <scheme val="minor"/>
    </font>
    <font>
      <b/>
      <sz val="12"/>
      <color rgb="FF0000FF"/>
      <name val="Calibri"/>
      <family val="2"/>
      <scheme val="minor"/>
    </font>
    <font>
      <sz val="11.5"/>
      <name val="Calibri"/>
      <family val="2"/>
      <scheme val="minor"/>
    </font>
    <font>
      <sz val="10"/>
      <color theme="1"/>
      <name val="Calibri"/>
      <family val="2"/>
      <scheme val="minor"/>
    </font>
    <font>
      <vertAlign val="subscript"/>
      <sz val="10"/>
      <name val="Calibri"/>
      <family val="2"/>
      <scheme val="minor"/>
    </font>
    <font>
      <b/>
      <sz val="10"/>
      <color theme="1"/>
      <name val="Calibri"/>
      <family val="2"/>
      <scheme val="minor"/>
    </font>
    <font>
      <vertAlign val="superscript"/>
      <sz val="10"/>
      <color theme="1"/>
      <name val="Calibri"/>
      <family val="2"/>
      <scheme val="minor"/>
    </font>
    <font>
      <vertAlign val="superscript"/>
      <sz val="10"/>
      <name val="Calibri"/>
      <family val="2"/>
      <scheme val="minor"/>
    </font>
    <font>
      <vertAlign val="subscript"/>
      <sz val="10"/>
      <color theme="1"/>
      <name val="Calibri"/>
      <family val="2"/>
      <scheme val="minor"/>
    </font>
    <font>
      <b/>
      <sz val="10"/>
      <color rgb="FF000099"/>
      <name val="Calibri"/>
      <family val="2"/>
      <scheme val="minor"/>
    </font>
    <font>
      <sz val="10"/>
      <color rgb="FF666666"/>
      <name val="Calibri"/>
      <family val="2"/>
      <scheme val="minor"/>
    </font>
    <font>
      <sz val="8"/>
      <color theme="1"/>
      <name val="Calibri"/>
      <family val="2"/>
      <scheme val="minor"/>
    </font>
    <font>
      <sz val="8"/>
      <name val="Calibri"/>
      <family val="2"/>
      <scheme val="minor"/>
    </font>
    <font>
      <sz val="8"/>
      <color rgb="FF555555"/>
      <name val="Calibri"/>
      <family val="2"/>
      <scheme val="minor"/>
    </font>
    <font>
      <sz val="10"/>
      <color rgb="FF0000FF"/>
      <name val="Calibri"/>
      <family val="2"/>
      <scheme val="minor"/>
    </font>
    <font>
      <u/>
      <sz val="10"/>
      <color theme="10"/>
      <name val="Arial"/>
    </font>
    <font>
      <u/>
      <sz val="10"/>
      <color theme="10"/>
      <name val="Calibri"/>
      <family val="2"/>
      <scheme val="minor"/>
    </font>
    <font>
      <sz val="10"/>
      <name val="Arial"/>
    </font>
  </fonts>
  <fills count="2">
    <fill>
      <patternFill patternType="none"/>
    </fill>
    <fill>
      <patternFill patternType="gray125"/>
    </fill>
  </fills>
  <borders count="7">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rgb="FFAAAAAA"/>
      </bottom>
      <diagonal/>
    </border>
    <border>
      <left style="medium">
        <color rgb="FFCCCCCC"/>
      </left>
      <right style="medium">
        <color rgb="FFCCCCCC"/>
      </right>
      <top style="medium">
        <color rgb="FFCCCCCC"/>
      </top>
      <bottom style="medium">
        <color rgb="FFCCCCCC"/>
      </bottom>
      <diagonal/>
    </border>
  </borders>
  <cellStyleXfs count="10">
    <xf numFmtId="0" fontId="0" fillId="0" borderId="0"/>
    <xf numFmtId="0" fontId="1" fillId="0" borderId="0"/>
    <xf numFmtId="0" fontId="3" fillId="0" borderId="0"/>
    <xf numFmtId="0" fontId="9" fillId="0" borderId="0" applyNumberFormat="0" applyFill="0" applyBorder="0" applyAlignment="0" applyProtection="0">
      <alignment vertical="top"/>
      <protection locked="0"/>
    </xf>
    <xf numFmtId="0" fontId="15" fillId="0" borderId="0">
      <alignment horizontal="right"/>
    </xf>
    <xf numFmtId="0" fontId="1" fillId="0" borderId="0"/>
    <xf numFmtId="0" fontId="1" fillId="0" borderId="0"/>
    <xf numFmtId="0" fontId="23" fillId="0" borderId="0" applyNumberFormat="0" applyFill="0" applyBorder="0" applyAlignment="0" applyProtection="0">
      <alignment vertical="top"/>
      <protection locked="0"/>
    </xf>
    <xf numFmtId="0" fontId="40" fillId="0" borderId="0" applyNumberFormat="0" applyFill="0" applyBorder="0" applyAlignment="0" applyProtection="0"/>
    <xf numFmtId="0" fontId="42" fillId="0" borderId="0"/>
  </cellStyleXfs>
  <cellXfs count="117">
    <xf numFmtId="0" fontId="0" fillId="0" borderId="0" xfId="0"/>
    <xf numFmtId="2" fontId="0" fillId="0" borderId="0" xfId="0" applyNumberFormat="1"/>
    <xf numFmtId="0" fontId="0" fillId="0" borderId="0" xfId="0" applyAlignment="1">
      <alignment horizontal="center"/>
    </xf>
    <xf numFmtId="2" fontId="0" fillId="0" borderId="0" xfId="0" applyNumberFormat="1" applyAlignment="1">
      <alignment horizontal="center"/>
    </xf>
    <xf numFmtId="0" fontId="9" fillId="0" borderId="0" xfId="3" applyAlignment="1" applyProtection="1"/>
    <xf numFmtId="0" fontId="2" fillId="0" borderId="0" xfId="0" applyFont="1" applyAlignment="1"/>
    <xf numFmtId="0" fontId="10" fillId="0" borderId="5" xfId="0" applyFont="1" applyBorder="1" applyAlignment="1"/>
    <xf numFmtId="0" fontId="11" fillId="0" borderId="6" xfId="0" applyFont="1" applyBorder="1" applyAlignment="1">
      <alignment horizontal="center"/>
    </xf>
    <xf numFmtId="0" fontId="0" fillId="0" borderId="6" xfId="0" applyBorder="1" applyAlignment="1">
      <alignment horizontal="center"/>
    </xf>
    <xf numFmtId="0" fontId="13" fillId="0" borderId="0" xfId="0" applyFont="1" applyAlignment="1">
      <alignment horizontal="left"/>
    </xf>
    <xf numFmtId="0" fontId="12" fillId="0" borderId="0" xfId="0" applyFont="1" applyAlignment="1">
      <alignment horizontal="left"/>
    </xf>
    <xf numFmtId="0" fontId="2" fillId="0" borderId="0" xfId="0" applyFont="1" applyAlignment="1">
      <alignment horizontal="center" readingOrder="1"/>
    </xf>
    <xf numFmtId="0" fontId="0" fillId="0" borderId="0" xfId="0" applyAlignment="1">
      <alignment horizontal="center"/>
    </xf>
    <xf numFmtId="0" fontId="0" fillId="0" borderId="0" xfId="0"/>
    <xf numFmtId="0" fontId="0" fillId="0" borderId="0" xfId="0" applyAlignment="1">
      <alignment horizontal="center"/>
    </xf>
    <xf numFmtId="0" fontId="16" fillId="0" borderId="0" xfId="5" applyFont="1" applyProtection="1">
      <protection locked="0"/>
    </xf>
    <xf numFmtId="0" fontId="16" fillId="0" borderId="0" xfId="5" applyFont="1" applyAlignment="1" applyProtection="1">
      <alignment horizontal="right"/>
      <protection locked="0"/>
    </xf>
    <xf numFmtId="0" fontId="17" fillId="0" borderId="0" xfId="5" applyFont="1" applyProtection="1">
      <protection locked="0"/>
    </xf>
    <xf numFmtId="0" fontId="17" fillId="0" borderId="0" xfId="5" applyFont="1" applyAlignment="1" applyProtection="1">
      <alignment horizontal="left"/>
      <protection locked="0"/>
    </xf>
    <xf numFmtId="0" fontId="16" fillId="0" borderId="0" xfId="5" applyFont="1"/>
    <xf numFmtId="0" fontId="16" fillId="0" borderId="0" xfId="5" applyFont="1" applyAlignment="1">
      <alignment horizontal="right"/>
    </xf>
    <xf numFmtId="0" fontId="18" fillId="0" borderId="0" xfId="5" applyFont="1" applyAlignment="1">
      <alignment horizontal="left"/>
    </xf>
    <xf numFmtId="14" fontId="17" fillId="0" borderId="0" xfId="5" quotePrefix="1" applyNumberFormat="1" applyFont="1" applyProtection="1">
      <protection locked="0"/>
    </xf>
    <xf numFmtId="0" fontId="19" fillId="0" borderId="0" xfId="5" applyFont="1" applyAlignment="1" applyProtection="1">
      <alignment horizontal="left"/>
      <protection locked="0"/>
    </xf>
    <xf numFmtId="0" fontId="16" fillId="0" borderId="0" xfId="6" applyFont="1"/>
    <xf numFmtId="0" fontId="18" fillId="0" borderId="0" xfId="5" applyFont="1"/>
    <xf numFmtId="0" fontId="18" fillId="0" borderId="0" xfId="5" quotePrefix="1" applyFont="1" applyAlignment="1">
      <alignment vertical="center"/>
    </xf>
    <xf numFmtId="0" fontId="18" fillId="0" borderId="0" xfId="5" applyFont="1" applyAlignment="1">
      <alignment vertical="center"/>
    </xf>
    <xf numFmtId="0" fontId="16" fillId="0" borderId="0" xfId="5" applyFont="1" applyAlignment="1">
      <alignment horizontal="center"/>
    </xf>
    <xf numFmtId="0" fontId="18" fillId="0" borderId="0" xfId="5" applyFont="1" applyAlignment="1">
      <alignment horizontal="right"/>
    </xf>
    <xf numFmtId="0" fontId="20" fillId="0" borderId="0" xfId="5" applyFont="1"/>
    <xf numFmtId="0" fontId="21" fillId="0" borderId="0" xfId="5" applyFont="1"/>
    <xf numFmtId="0" fontId="22" fillId="0" borderId="0" xfId="5" applyFont="1"/>
    <xf numFmtId="0" fontId="16" fillId="0" borderId="0" xfId="5" applyFont="1" applyBorder="1" applyAlignment="1"/>
    <xf numFmtId="0" fontId="22" fillId="0" borderId="0" xfId="5" applyFont="1" applyBorder="1" applyAlignment="1"/>
    <xf numFmtId="0" fontId="20" fillId="0" borderId="0" xfId="1" applyFont="1" applyAlignment="1">
      <alignment horizontal="right"/>
    </xf>
    <xf numFmtId="0" fontId="24" fillId="0" borderId="0" xfId="1" applyFont="1" applyFill="1"/>
    <xf numFmtId="0" fontId="20" fillId="0" borderId="0" xfId="1" applyFont="1"/>
    <xf numFmtId="0" fontId="21" fillId="0" borderId="0" xfId="1" applyFont="1"/>
    <xf numFmtId="0" fontId="16" fillId="0" borderId="0" xfId="1" applyFont="1" applyAlignment="1">
      <alignment horizontal="center"/>
    </xf>
    <xf numFmtId="0" fontId="16" fillId="0" borderId="2" xfId="1" applyFont="1" applyBorder="1" applyAlignment="1">
      <alignment horizontal="center"/>
    </xf>
    <xf numFmtId="0" fontId="16" fillId="0" borderId="1" xfId="1" applyFont="1" applyBorder="1" applyAlignment="1">
      <alignment horizontal="center"/>
    </xf>
    <xf numFmtId="0" fontId="24" fillId="0" borderId="0" xfId="1" quotePrefix="1" applyFont="1" applyFill="1"/>
    <xf numFmtId="0" fontId="24" fillId="0" borderId="0" xfId="1" applyFont="1"/>
    <xf numFmtId="0" fontId="25" fillId="0" borderId="0" xfId="1" applyFont="1"/>
    <xf numFmtId="0" fontId="16" fillId="0" borderId="0" xfId="1" applyFont="1"/>
    <xf numFmtId="0" fontId="20" fillId="0" borderId="0" xfId="1" applyFont="1" applyAlignment="1">
      <alignment horizontal="left"/>
    </xf>
    <xf numFmtId="0" fontId="26" fillId="0" borderId="0" xfId="1" applyFont="1" applyAlignment="1">
      <alignment horizontal="left"/>
    </xf>
    <xf numFmtId="0" fontId="16" fillId="0" borderId="0" xfId="1" applyFont="1" applyAlignment="1">
      <alignment horizontal="right"/>
    </xf>
    <xf numFmtId="0" fontId="18" fillId="0" borderId="0" xfId="1" applyFont="1" applyAlignment="1">
      <alignment horizontal="left"/>
    </xf>
    <xf numFmtId="0" fontId="18" fillId="0" borderId="0" xfId="1" applyFont="1"/>
    <xf numFmtId="0" fontId="18" fillId="0" borderId="0" xfId="1" quotePrefix="1" applyFont="1" applyAlignment="1">
      <alignment vertical="center"/>
    </xf>
    <xf numFmtId="0" fontId="18" fillId="0" borderId="0" xfId="1" applyFont="1" applyAlignment="1">
      <alignment vertical="center"/>
    </xf>
    <xf numFmtId="0" fontId="18" fillId="0" borderId="0" xfId="1" applyFont="1" applyAlignment="1">
      <alignment horizontal="right"/>
    </xf>
    <xf numFmtId="0" fontId="16" fillId="0" borderId="0" xfId="1" applyFont="1" applyAlignment="1">
      <alignment vertical="top"/>
    </xf>
    <xf numFmtId="0" fontId="16" fillId="0" borderId="0" xfId="1" quotePrefix="1" applyFont="1"/>
    <xf numFmtId="0" fontId="16" fillId="0" borderId="3" xfId="1" applyFont="1" applyBorder="1"/>
    <xf numFmtId="0" fontId="16" fillId="0" borderId="1" xfId="1" applyFont="1" applyBorder="1"/>
    <xf numFmtId="0" fontId="16" fillId="0" borderId="4" xfId="1" applyFont="1" applyBorder="1"/>
    <xf numFmtId="0" fontId="16" fillId="0" borderId="0" xfId="1" applyFont="1" applyAlignment="1">
      <alignment horizontal="left"/>
    </xf>
    <xf numFmtId="0" fontId="28" fillId="0" borderId="0" xfId="0" applyFont="1"/>
    <xf numFmtId="164" fontId="16" fillId="0" borderId="0" xfId="1" applyNumberFormat="1" applyFont="1" applyAlignment="1">
      <alignment horizontal="left"/>
    </xf>
    <xf numFmtId="0" fontId="28" fillId="0" borderId="0" xfId="0" applyFont="1" applyAlignment="1">
      <alignment horizontal="right"/>
    </xf>
    <xf numFmtId="0" fontId="30" fillId="0" borderId="0" xfId="0" applyFont="1"/>
    <xf numFmtId="2" fontId="30" fillId="0" borderId="0" xfId="0" applyNumberFormat="1" applyFont="1"/>
    <xf numFmtId="1" fontId="30" fillId="0" borderId="0" xfId="0" applyNumberFormat="1" applyFont="1"/>
    <xf numFmtId="164" fontId="28" fillId="0" borderId="0" xfId="0" applyNumberFormat="1" applyFont="1"/>
    <xf numFmtId="1" fontId="28" fillId="0" borderId="0" xfId="0" applyNumberFormat="1" applyFont="1"/>
    <xf numFmtId="165" fontId="28" fillId="0" borderId="0" xfId="0" applyNumberFormat="1" applyFont="1"/>
    <xf numFmtId="0" fontId="16" fillId="0" borderId="0" xfId="0" applyFont="1" applyAlignment="1">
      <alignment vertical="top"/>
    </xf>
    <xf numFmtId="0" fontId="18" fillId="0" borderId="0" xfId="0" applyFont="1" applyAlignment="1">
      <alignment horizontal="left"/>
    </xf>
    <xf numFmtId="0" fontId="28" fillId="0" borderId="0" xfId="0" applyFont="1" applyAlignment="1">
      <alignment horizontal="center"/>
    </xf>
    <xf numFmtId="0" fontId="16" fillId="0" borderId="0" xfId="1" applyFont="1" applyAlignment="1">
      <alignment horizontal="center" vertical="top"/>
    </xf>
    <xf numFmtId="1" fontId="28" fillId="0" borderId="0" xfId="0" applyNumberFormat="1" applyFont="1" applyAlignment="1">
      <alignment horizontal="center"/>
    </xf>
    <xf numFmtId="2" fontId="28" fillId="0" borderId="0" xfId="0" applyNumberFormat="1" applyFont="1" applyAlignment="1">
      <alignment horizontal="center"/>
    </xf>
    <xf numFmtId="0" fontId="34" fillId="0" borderId="0" xfId="0" applyFont="1" applyAlignment="1"/>
    <xf numFmtId="0" fontId="16" fillId="0" borderId="0" xfId="1" applyFont="1" applyAlignment="1"/>
    <xf numFmtId="0" fontId="35" fillId="0" borderId="0" xfId="0" applyFont="1" applyAlignment="1">
      <alignment horizontal="left"/>
    </xf>
    <xf numFmtId="0" fontId="36" fillId="0" borderId="0" xfId="0" applyFont="1" applyAlignment="1"/>
    <xf numFmtId="0" fontId="37" fillId="0" borderId="0" xfId="1" applyFont="1" applyAlignment="1"/>
    <xf numFmtId="0" fontId="37" fillId="0" borderId="0" xfId="1" applyFont="1"/>
    <xf numFmtId="0" fontId="38" fillId="0" borderId="0" xfId="0" applyFont="1" applyAlignment="1">
      <alignment horizontal="left"/>
    </xf>
    <xf numFmtId="0" fontId="36" fillId="0" borderId="0" xfId="0" applyFont="1" applyAlignment="1">
      <alignment vertical="top"/>
    </xf>
    <xf numFmtId="0" fontId="20" fillId="0" borderId="0" xfId="1" applyFont="1" applyAlignment="1">
      <alignment vertical="top"/>
    </xf>
    <xf numFmtId="1" fontId="16" fillId="0" borderId="0" xfId="1" applyNumberFormat="1" applyFont="1" applyAlignment="1">
      <alignment horizontal="center"/>
    </xf>
    <xf numFmtId="164" fontId="20" fillId="0" borderId="0" xfId="1" applyNumberFormat="1" applyFont="1"/>
    <xf numFmtId="0" fontId="26" fillId="0" borderId="0" xfId="1" applyFont="1"/>
    <xf numFmtId="0" fontId="16" fillId="0" borderId="0" xfId="1" applyFont="1" applyBorder="1"/>
    <xf numFmtId="0" fontId="39" fillId="0" borderId="0" xfId="0" applyFont="1"/>
    <xf numFmtId="0" fontId="39" fillId="0" borderId="0" xfId="1" applyFont="1"/>
    <xf numFmtId="2" fontId="39" fillId="0" borderId="0" xfId="1" applyNumberFormat="1" applyFont="1"/>
    <xf numFmtId="164" fontId="16" fillId="0" borderId="0" xfId="1" applyNumberFormat="1" applyFont="1"/>
    <xf numFmtId="0" fontId="21" fillId="0" borderId="0" xfId="1" applyFont="1" applyAlignment="1">
      <alignment horizontal="center"/>
    </xf>
    <xf numFmtId="2" fontId="16" fillId="0" borderId="0" xfId="1" applyNumberFormat="1" applyFont="1" applyAlignment="1">
      <alignment horizontal="center"/>
    </xf>
    <xf numFmtId="0" fontId="16" fillId="0" borderId="0" xfId="1" applyFont="1" applyAlignment="1">
      <alignment horizontal="left" vertical="top" wrapText="1"/>
    </xf>
    <xf numFmtId="0" fontId="23" fillId="0" borderId="0" xfId="7" applyFont="1" applyBorder="1" applyAlignment="1" applyProtection="1">
      <alignment horizontal="center"/>
    </xf>
    <xf numFmtId="0" fontId="16" fillId="0" borderId="0" xfId="5" applyFont="1" applyBorder="1" applyAlignment="1">
      <alignment horizontal="center"/>
    </xf>
    <xf numFmtId="0" fontId="16" fillId="0" borderId="0" xfId="5" applyFont="1" applyBorder="1"/>
    <xf numFmtId="0" fontId="16" fillId="0" borderId="0" xfId="5" applyFont="1" applyBorder="1" applyAlignment="1">
      <alignment horizontal="right"/>
    </xf>
    <xf numFmtId="0" fontId="18" fillId="0" borderId="0" xfId="5" applyFont="1" applyBorder="1" applyAlignment="1">
      <alignment horizontal="left"/>
    </xf>
    <xf numFmtId="0" fontId="16" fillId="0" borderId="0" xfId="6" applyFont="1" applyBorder="1" applyAlignment="1">
      <alignment horizontal="center"/>
    </xf>
    <xf numFmtId="1" fontId="16" fillId="0" borderId="0" xfId="6" applyNumberFormat="1" applyFont="1" applyBorder="1" applyAlignment="1">
      <alignment horizontal="center"/>
    </xf>
    <xf numFmtId="0" fontId="20" fillId="0" borderId="0" xfId="5" applyFont="1" applyBorder="1" applyAlignment="1">
      <alignment horizontal="center"/>
    </xf>
    <xf numFmtId="0" fontId="20" fillId="0" borderId="0" xfId="5" applyFont="1" applyBorder="1"/>
    <xf numFmtId="164" fontId="16" fillId="0" borderId="0" xfId="6" applyNumberFormat="1" applyFont="1" applyBorder="1" applyAlignment="1">
      <alignment horizontal="center"/>
    </xf>
    <xf numFmtId="0" fontId="23" fillId="0" borderId="0" xfId="7" applyBorder="1" applyAlignment="1" applyProtection="1">
      <alignment horizontal="center"/>
    </xf>
    <xf numFmtId="0" fontId="16" fillId="0" borderId="0" xfId="5" applyFont="1" applyBorder="1" applyAlignment="1">
      <alignment horizontal="left" vertical="top" wrapText="1"/>
    </xf>
    <xf numFmtId="0" fontId="23" fillId="0" borderId="0" xfId="7" applyBorder="1" applyAlignment="1" applyProtection="1">
      <alignment horizontal="center"/>
    </xf>
    <xf numFmtId="0" fontId="16" fillId="0" borderId="0" xfId="5" applyFont="1" applyBorder="1" applyAlignment="1">
      <alignment horizontal="left" vertical="top" wrapText="1"/>
    </xf>
    <xf numFmtId="0" fontId="16" fillId="0" borderId="0" xfId="1" applyFont="1" applyAlignment="1">
      <alignment horizontal="left" vertical="top" wrapText="1"/>
    </xf>
    <xf numFmtId="0" fontId="18" fillId="0" borderId="0" xfId="1" applyFont="1" applyAlignment="1">
      <alignment horizontal="left" vertical="top" wrapText="1"/>
    </xf>
    <xf numFmtId="0" fontId="16" fillId="0" borderId="0" xfId="1" applyFont="1" applyAlignment="1">
      <alignment horizontal="left" wrapText="1"/>
    </xf>
    <xf numFmtId="0" fontId="28" fillId="0" borderId="0" xfId="0" applyFont="1" applyAlignment="1">
      <alignment horizontal="center"/>
    </xf>
    <xf numFmtId="0" fontId="41" fillId="0" borderId="0" xfId="8" applyFont="1" applyBorder="1" applyAlignment="1" applyProtection="1">
      <alignment horizontal="center"/>
    </xf>
    <xf numFmtId="0" fontId="16" fillId="0" borderId="0" xfId="5" applyFont="1" applyBorder="1" applyAlignment="1">
      <alignment horizontal="left" wrapText="1"/>
    </xf>
    <xf numFmtId="0" fontId="42" fillId="0" borderId="0" xfId="9"/>
    <xf numFmtId="0" fontId="40" fillId="0" borderId="0" xfId="8" applyBorder="1" applyAlignment="1">
      <alignment horizontal="center"/>
    </xf>
  </cellXfs>
  <cellStyles count="10">
    <cellStyle name="Hyperlink" xfId="3" builtinId="8"/>
    <cellStyle name="Hyperlink 2" xfId="7"/>
    <cellStyle name="Hyperlink 3" xfId="8"/>
    <cellStyle name="Normal" xfId="0" builtinId="0"/>
    <cellStyle name="Normal 2" xfId="1"/>
    <cellStyle name="Normal 2 2" xfId="5"/>
    <cellStyle name="Normal 3" xfId="2"/>
    <cellStyle name="Normal 4" xfId="6"/>
    <cellStyle name="Normal 5" xfId="9"/>
    <cellStyle name="Reference Note" xfId="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Graphs!$B$80</c:f>
              <c:strCache>
                <c:ptCount val="1"/>
                <c:pt idx="0">
                  <c:v>0.042</c:v>
                </c:pt>
              </c:strCache>
            </c:strRef>
          </c:tx>
          <c:xVal>
            <c:numRef>
              <c:f>Graphs!$A$82:$A$86</c:f>
              <c:numCache>
                <c:formatCode>General</c:formatCode>
                <c:ptCount val="5"/>
                <c:pt idx="0">
                  <c:v>-6</c:v>
                </c:pt>
                <c:pt idx="1">
                  <c:v>-4</c:v>
                </c:pt>
                <c:pt idx="2">
                  <c:v>-2</c:v>
                </c:pt>
                <c:pt idx="3">
                  <c:v>0</c:v>
                </c:pt>
                <c:pt idx="4">
                  <c:v>2</c:v>
                </c:pt>
              </c:numCache>
            </c:numRef>
          </c:xVal>
          <c:yVal>
            <c:numRef>
              <c:f>Graphs!$B$82:$B$86</c:f>
              <c:numCache>
                <c:formatCode>General</c:formatCode>
                <c:ptCount val="5"/>
                <c:pt idx="0">
                  <c:v>-0.22</c:v>
                </c:pt>
                <c:pt idx="1">
                  <c:v>-0.05</c:v>
                </c:pt>
                <c:pt idx="2">
                  <c:v>0.2</c:v>
                </c:pt>
                <c:pt idx="3">
                  <c:v>0.54</c:v>
                </c:pt>
                <c:pt idx="4">
                  <c:v>1.1000000000000001</c:v>
                </c:pt>
              </c:numCache>
            </c:numRef>
          </c:yVal>
          <c:smooth val="0"/>
          <c:extLst>
            <c:ext xmlns:c16="http://schemas.microsoft.com/office/drawing/2014/chart" uri="{C3380CC4-5D6E-409C-BE32-E72D297353CC}">
              <c16:uniqueId val="{00000000-20A5-4828-AA83-8D2BDC26B316}"/>
            </c:ext>
          </c:extLst>
        </c:ser>
        <c:ser>
          <c:idx val="1"/>
          <c:order val="1"/>
          <c:tx>
            <c:strRef>
              <c:f>Graphs!$C$80</c:f>
              <c:strCache>
                <c:ptCount val="1"/>
                <c:pt idx="0">
                  <c:v>0.083</c:v>
                </c:pt>
              </c:strCache>
            </c:strRef>
          </c:tx>
          <c:xVal>
            <c:numRef>
              <c:f>Graphs!$A$81:$A$87</c:f>
              <c:numCache>
                <c:formatCode>General</c:formatCode>
                <c:ptCount val="7"/>
                <c:pt idx="0">
                  <c:v>-8</c:v>
                </c:pt>
                <c:pt idx="1">
                  <c:v>-6</c:v>
                </c:pt>
                <c:pt idx="2">
                  <c:v>-4</c:v>
                </c:pt>
                <c:pt idx="3">
                  <c:v>-2</c:v>
                </c:pt>
                <c:pt idx="4">
                  <c:v>0</c:v>
                </c:pt>
                <c:pt idx="5">
                  <c:v>2</c:v>
                </c:pt>
                <c:pt idx="6">
                  <c:v>4</c:v>
                </c:pt>
              </c:numCache>
            </c:numRef>
          </c:xVal>
          <c:yVal>
            <c:numRef>
              <c:f>Graphs!$C$81:$C$87</c:f>
              <c:numCache>
                <c:formatCode>General</c:formatCode>
                <c:ptCount val="7"/>
                <c:pt idx="0">
                  <c:v>-0.32</c:v>
                </c:pt>
                <c:pt idx="1">
                  <c:v>-0.12</c:v>
                </c:pt>
                <c:pt idx="2">
                  <c:v>0.1</c:v>
                </c:pt>
                <c:pt idx="3">
                  <c:v>0.3</c:v>
                </c:pt>
                <c:pt idx="4">
                  <c:v>0.56999999999999995</c:v>
                </c:pt>
                <c:pt idx="5">
                  <c:v>0.84</c:v>
                </c:pt>
                <c:pt idx="6">
                  <c:v>1.1399999999999999</c:v>
                </c:pt>
              </c:numCache>
            </c:numRef>
          </c:yVal>
          <c:smooth val="0"/>
          <c:extLst>
            <c:ext xmlns:c16="http://schemas.microsoft.com/office/drawing/2014/chart" uri="{C3380CC4-5D6E-409C-BE32-E72D297353CC}">
              <c16:uniqueId val="{00000001-20A5-4828-AA83-8D2BDC26B316}"/>
            </c:ext>
          </c:extLst>
        </c:ser>
        <c:ser>
          <c:idx val="2"/>
          <c:order val="2"/>
          <c:tx>
            <c:strRef>
              <c:f>Graphs!$D$80</c:f>
              <c:strCache>
                <c:ptCount val="1"/>
                <c:pt idx="0">
                  <c:v>0.167</c:v>
                </c:pt>
              </c:strCache>
            </c:strRef>
          </c:tx>
          <c:xVal>
            <c:numRef>
              <c:f>Graphs!$A$81:$A$90</c:f>
              <c:numCache>
                <c:formatCode>General</c:formatCode>
                <c:ptCount val="10"/>
                <c:pt idx="0">
                  <c:v>-8</c:v>
                </c:pt>
                <c:pt idx="1">
                  <c:v>-6</c:v>
                </c:pt>
                <c:pt idx="2">
                  <c:v>-4</c:v>
                </c:pt>
                <c:pt idx="3">
                  <c:v>-2</c:v>
                </c:pt>
                <c:pt idx="4">
                  <c:v>0</c:v>
                </c:pt>
                <c:pt idx="5">
                  <c:v>2</c:v>
                </c:pt>
                <c:pt idx="6">
                  <c:v>4</c:v>
                </c:pt>
                <c:pt idx="7">
                  <c:v>6</c:v>
                </c:pt>
                <c:pt idx="8">
                  <c:v>8</c:v>
                </c:pt>
                <c:pt idx="9">
                  <c:v>10</c:v>
                </c:pt>
              </c:numCache>
            </c:numRef>
          </c:xVal>
          <c:yVal>
            <c:numRef>
              <c:f>Graphs!$D$81:$D$90</c:f>
              <c:numCache>
                <c:formatCode>General</c:formatCode>
                <c:ptCount val="10"/>
                <c:pt idx="0">
                  <c:v>-0.1</c:v>
                </c:pt>
                <c:pt idx="1">
                  <c:v>0.08</c:v>
                </c:pt>
                <c:pt idx="2">
                  <c:v>0.23499999999999999</c:v>
                </c:pt>
                <c:pt idx="3">
                  <c:v>0.37</c:v>
                </c:pt>
                <c:pt idx="4">
                  <c:v>0.55000000000000004</c:v>
                </c:pt>
                <c:pt idx="5">
                  <c:v>0.72499999999999998</c:v>
                </c:pt>
                <c:pt idx="6">
                  <c:v>0.91500000000000004</c:v>
                </c:pt>
                <c:pt idx="7">
                  <c:v>1.0900000000000001</c:v>
                </c:pt>
                <c:pt idx="8">
                  <c:v>1.28</c:v>
                </c:pt>
                <c:pt idx="9">
                  <c:v>1.48</c:v>
                </c:pt>
              </c:numCache>
            </c:numRef>
          </c:yVal>
          <c:smooth val="0"/>
          <c:extLst>
            <c:ext xmlns:c16="http://schemas.microsoft.com/office/drawing/2014/chart" uri="{C3380CC4-5D6E-409C-BE32-E72D297353CC}">
              <c16:uniqueId val="{00000002-20A5-4828-AA83-8D2BDC26B316}"/>
            </c:ext>
          </c:extLst>
        </c:ser>
        <c:ser>
          <c:idx val="3"/>
          <c:order val="3"/>
          <c:tx>
            <c:strRef>
              <c:f>Graphs!$E$80</c:f>
              <c:strCache>
                <c:ptCount val="1"/>
                <c:pt idx="0">
                  <c:v>0.333</c:v>
                </c:pt>
              </c:strCache>
            </c:strRef>
          </c:tx>
          <c:xVal>
            <c:numRef>
              <c:f>Graphs!$A$81:$A$91</c:f>
              <c:numCache>
                <c:formatCode>General</c:formatCode>
                <c:ptCount val="11"/>
                <c:pt idx="0">
                  <c:v>-8</c:v>
                </c:pt>
                <c:pt idx="1">
                  <c:v>-6</c:v>
                </c:pt>
                <c:pt idx="2">
                  <c:v>-4</c:v>
                </c:pt>
                <c:pt idx="3">
                  <c:v>-2</c:v>
                </c:pt>
                <c:pt idx="4">
                  <c:v>0</c:v>
                </c:pt>
                <c:pt idx="5">
                  <c:v>2</c:v>
                </c:pt>
                <c:pt idx="6">
                  <c:v>4</c:v>
                </c:pt>
                <c:pt idx="7">
                  <c:v>6</c:v>
                </c:pt>
                <c:pt idx="8">
                  <c:v>8</c:v>
                </c:pt>
                <c:pt idx="9">
                  <c:v>10</c:v>
                </c:pt>
                <c:pt idx="10">
                  <c:v>12</c:v>
                </c:pt>
              </c:numCache>
            </c:numRef>
          </c:xVal>
          <c:yVal>
            <c:numRef>
              <c:f>Graphs!$E$81:$E$90</c:f>
              <c:numCache>
                <c:formatCode>General</c:formatCode>
                <c:ptCount val="10"/>
                <c:pt idx="0">
                  <c:v>0.05</c:v>
                </c:pt>
                <c:pt idx="1">
                  <c:v>0.18</c:v>
                </c:pt>
                <c:pt idx="2">
                  <c:v>0.32</c:v>
                </c:pt>
                <c:pt idx="3">
                  <c:v>0.43</c:v>
                </c:pt>
                <c:pt idx="4">
                  <c:v>0.55000000000000004</c:v>
                </c:pt>
                <c:pt idx="5">
                  <c:v>0.69</c:v>
                </c:pt>
                <c:pt idx="6">
                  <c:v>0.82499999999999996</c:v>
                </c:pt>
                <c:pt idx="7">
                  <c:v>0.95</c:v>
                </c:pt>
                <c:pt idx="8">
                  <c:v>1.07</c:v>
                </c:pt>
                <c:pt idx="9">
                  <c:v>1.21</c:v>
                </c:pt>
              </c:numCache>
            </c:numRef>
          </c:yVal>
          <c:smooth val="0"/>
          <c:extLst>
            <c:ext xmlns:c16="http://schemas.microsoft.com/office/drawing/2014/chart" uri="{C3380CC4-5D6E-409C-BE32-E72D297353CC}">
              <c16:uniqueId val="{00000003-20A5-4828-AA83-8D2BDC26B316}"/>
            </c:ext>
          </c:extLst>
        </c:ser>
        <c:ser>
          <c:idx val="4"/>
          <c:order val="4"/>
          <c:tx>
            <c:strRef>
              <c:f>Graphs!$F$80</c:f>
              <c:strCache>
                <c:ptCount val="1"/>
                <c:pt idx="0">
                  <c:v>0.5</c:v>
                </c:pt>
              </c:strCache>
            </c:strRef>
          </c:tx>
          <c:xVal>
            <c:numRef>
              <c:f>Graphs!$A$81:$A$91</c:f>
              <c:numCache>
                <c:formatCode>General</c:formatCode>
                <c:ptCount val="11"/>
                <c:pt idx="0">
                  <c:v>-8</c:v>
                </c:pt>
                <c:pt idx="1">
                  <c:v>-6</c:v>
                </c:pt>
                <c:pt idx="2">
                  <c:v>-4</c:v>
                </c:pt>
                <c:pt idx="3">
                  <c:v>-2</c:v>
                </c:pt>
                <c:pt idx="4">
                  <c:v>0</c:v>
                </c:pt>
                <c:pt idx="5">
                  <c:v>2</c:v>
                </c:pt>
                <c:pt idx="6">
                  <c:v>4</c:v>
                </c:pt>
                <c:pt idx="7">
                  <c:v>6</c:v>
                </c:pt>
                <c:pt idx="8">
                  <c:v>8</c:v>
                </c:pt>
                <c:pt idx="9">
                  <c:v>10</c:v>
                </c:pt>
                <c:pt idx="10">
                  <c:v>12</c:v>
                </c:pt>
              </c:numCache>
            </c:numRef>
          </c:xVal>
          <c:yVal>
            <c:numRef>
              <c:f>Graphs!$F$81:$F$91</c:f>
              <c:numCache>
                <c:formatCode>General</c:formatCode>
                <c:ptCount val="11"/>
                <c:pt idx="0">
                  <c:v>0.1</c:v>
                </c:pt>
                <c:pt idx="1">
                  <c:v>0.22</c:v>
                </c:pt>
                <c:pt idx="2">
                  <c:v>0.34</c:v>
                </c:pt>
                <c:pt idx="3">
                  <c:v>0.44500000000000001</c:v>
                </c:pt>
                <c:pt idx="4">
                  <c:v>0.55000000000000004</c:v>
                </c:pt>
                <c:pt idx="5">
                  <c:v>0.68</c:v>
                </c:pt>
                <c:pt idx="6">
                  <c:v>0.81</c:v>
                </c:pt>
                <c:pt idx="7">
                  <c:v>0.92</c:v>
                </c:pt>
                <c:pt idx="8">
                  <c:v>1.03</c:v>
                </c:pt>
                <c:pt idx="9">
                  <c:v>1.1599999999999999</c:v>
                </c:pt>
              </c:numCache>
            </c:numRef>
          </c:yVal>
          <c:smooth val="0"/>
          <c:extLst>
            <c:ext xmlns:c16="http://schemas.microsoft.com/office/drawing/2014/chart" uri="{C3380CC4-5D6E-409C-BE32-E72D297353CC}">
              <c16:uniqueId val="{00000004-20A5-4828-AA83-8D2BDC26B316}"/>
            </c:ext>
          </c:extLst>
        </c:ser>
        <c:ser>
          <c:idx val="5"/>
          <c:order val="5"/>
          <c:tx>
            <c:strRef>
              <c:f>Graphs!$G$80</c:f>
              <c:strCache>
                <c:ptCount val="1"/>
                <c:pt idx="0">
                  <c:v>0.667</c:v>
                </c:pt>
              </c:strCache>
            </c:strRef>
          </c:tx>
          <c:xVal>
            <c:numRef>
              <c:f>Graphs!$A$81:$A$91</c:f>
              <c:numCache>
                <c:formatCode>General</c:formatCode>
                <c:ptCount val="11"/>
                <c:pt idx="0">
                  <c:v>-8</c:v>
                </c:pt>
                <c:pt idx="1">
                  <c:v>-6</c:v>
                </c:pt>
                <c:pt idx="2">
                  <c:v>-4</c:v>
                </c:pt>
                <c:pt idx="3">
                  <c:v>-2</c:v>
                </c:pt>
                <c:pt idx="4">
                  <c:v>0</c:v>
                </c:pt>
                <c:pt idx="5">
                  <c:v>2</c:v>
                </c:pt>
                <c:pt idx="6">
                  <c:v>4</c:v>
                </c:pt>
                <c:pt idx="7">
                  <c:v>6</c:v>
                </c:pt>
                <c:pt idx="8">
                  <c:v>8</c:v>
                </c:pt>
                <c:pt idx="9">
                  <c:v>10</c:v>
                </c:pt>
                <c:pt idx="10">
                  <c:v>12</c:v>
                </c:pt>
              </c:numCache>
            </c:numRef>
          </c:xVal>
          <c:yVal>
            <c:numRef>
              <c:f>Graphs!$G$81:$G$91</c:f>
              <c:numCache>
                <c:formatCode>General</c:formatCode>
                <c:ptCount val="11"/>
                <c:pt idx="0">
                  <c:v>0.10500000000000001</c:v>
                </c:pt>
                <c:pt idx="1">
                  <c:v>0.22500000000000001</c:v>
                </c:pt>
                <c:pt idx="2">
                  <c:v>0.34500000000000003</c:v>
                </c:pt>
                <c:pt idx="3">
                  <c:v>0.45</c:v>
                </c:pt>
                <c:pt idx="4">
                  <c:v>0.55500000000000005</c:v>
                </c:pt>
              </c:numCache>
            </c:numRef>
          </c:yVal>
          <c:smooth val="0"/>
          <c:extLst>
            <c:ext xmlns:c16="http://schemas.microsoft.com/office/drawing/2014/chart" uri="{C3380CC4-5D6E-409C-BE32-E72D297353CC}">
              <c16:uniqueId val="{00000005-20A5-4828-AA83-8D2BDC26B316}"/>
            </c:ext>
          </c:extLst>
        </c:ser>
        <c:ser>
          <c:idx val="6"/>
          <c:order val="6"/>
          <c:tx>
            <c:strRef>
              <c:f>Graphs!$H$80</c:f>
              <c:strCache>
                <c:ptCount val="1"/>
                <c:pt idx="0">
                  <c:v>0.834</c:v>
                </c:pt>
              </c:strCache>
            </c:strRef>
          </c:tx>
          <c:xVal>
            <c:numRef>
              <c:f>Graphs!$A$81:$A$91</c:f>
              <c:numCache>
                <c:formatCode>General</c:formatCode>
                <c:ptCount val="11"/>
                <c:pt idx="0">
                  <c:v>-8</c:v>
                </c:pt>
                <c:pt idx="1">
                  <c:v>-6</c:v>
                </c:pt>
                <c:pt idx="2">
                  <c:v>-4</c:v>
                </c:pt>
                <c:pt idx="3">
                  <c:v>-2</c:v>
                </c:pt>
                <c:pt idx="4">
                  <c:v>0</c:v>
                </c:pt>
                <c:pt idx="5">
                  <c:v>2</c:v>
                </c:pt>
                <c:pt idx="6">
                  <c:v>4</c:v>
                </c:pt>
                <c:pt idx="7">
                  <c:v>6</c:v>
                </c:pt>
                <c:pt idx="8">
                  <c:v>8</c:v>
                </c:pt>
                <c:pt idx="9">
                  <c:v>10</c:v>
                </c:pt>
                <c:pt idx="10">
                  <c:v>12</c:v>
                </c:pt>
              </c:numCache>
            </c:numRef>
          </c:xVal>
          <c:yVal>
            <c:numRef>
              <c:f>Graphs!$H$81:$H$91</c:f>
              <c:numCache>
                <c:formatCode>General</c:formatCode>
                <c:ptCount val="11"/>
              </c:numCache>
            </c:numRef>
          </c:yVal>
          <c:smooth val="0"/>
          <c:extLst>
            <c:ext xmlns:c16="http://schemas.microsoft.com/office/drawing/2014/chart" uri="{C3380CC4-5D6E-409C-BE32-E72D297353CC}">
              <c16:uniqueId val="{00000006-20A5-4828-AA83-8D2BDC26B316}"/>
            </c:ext>
          </c:extLst>
        </c:ser>
        <c:ser>
          <c:idx val="7"/>
          <c:order val="7"/>
          <c:tx>
            <c:strRef>
              <c:f>Graphs!$I$80</c:f>
              <c:strCache>
                <c:ptCount val="1"/>
                <c:pt idx="0">
                  <c:v>1</c:v>
                </c:pt>
              </c:strCache>
            </c:strRef>
          </c:tx>
          <c:xVal>
            <c:numRef>
              <c:f>Graphs!$A$81:$A$91</c:f>
              <c:numCache>
                <c:formatCode>General</c:formatCode>
                <c:ptCount val="11"/>
                <c:pt idx="0">
                  <c:v>-8</c:v>
                </c:pt>
                <c:pt idx="1">
                  <c:v>-6</c:v>
                </c:pt>
                <c:pt idx="2">
                  <c:v>-4</c:v>
                </c:pt>
                <c:pt idx="3">
                  <c:v>-2</c:v>
                </c:pt>
                <c:pt idx="4">
                  <c:v>0</c:v>
                </c:pt>
                <c:pt idx="5">
                  <c:v>2</c:v>
                </c:pt>
                <c:pt idx="6">
                  <c:v>4</c:v>
                </c:pt>
                <c:pt idx="7">
                  <c:v>6</c:v>
                </c:pt>
                <c:pt idx="8">
                  <c:v>8</c:v>
                </c:pt>
                <c:pt idx="9">
                  <c:v>10</c:v>
                </c:pt>
                <c:pt idx="10">
                  <c:v>12</c:v>
                </c:pt>
              </c:numCache>
            </c:numRef>
          </c:xVal>
          <c:yVal>
            <c:numRef>
              <c:f>Graphs!$I$81:$I$91</c:f>
              <c:numCache>
                <c:formatCode>General</c:formatCode>
                <c:ptCount val="11"/>
              </c:numCache>
            </c:numRef>
          </c:yVal>
          <c:smooth val="0"/>
          <c:extLst>
            <c:ext xmlns:c16="http://schemas.microsoft.com/office/drawing/2014/chart" uri="{C3380CC4-5D6E-409C-BE32-E72D297353CC}">
              <c16:uniqueId val="{00000007-20A5-4828-AA83-8D2BDC26B316}"/>
            </c:ext>
          </c:extLst>
        </c:ser>
        <c:ser>
          <c:idx val="8"/>
          <c:order val="8"/>
          <c:tx>
            <c:strRef>
              <c:f>Graphs!$J$80</c:f>
              <c:strCache>
                <c:ptCount val="1"/>
                <c:pt idx="0">
                  <c:v>inf</c:v>
                </c:pt>
              </c:strCache>
            </c:strRef>
          </c:tx>
          <c:xVal>
            <c:numRef>
              <c:f>Graphs!$A$81:$A$91</c:f>
              <c:numCache>
                <c:formatCode>General</c:formatCode>
                <c:ptCount val="11"/>
                <c:pt idx="0">
                  <c:v>-8</c:v>
                </c:pt>
                <c:pt idx="1">
                  <c:v>-6</c:v>
                </c:pt>
                <c:pt idx="2">
                  <c:v>-4</c:v>
                </c:pt>
                <c:pt idx="3">
                  <c:v>-2</c:v>
                </c:pt>
                <c:pt idx="4">
                  <c:v>0</c:v>
                </c:pt>
                <c:pt idx="5">
                  <c:v>2</c:v>
                </c:pt>
                <c:pt idx="6">
                  <c:v>4</c:v>
                </c:pt>
                <c:pt idx="7">
                  <c:v>6</c:v>
                </c:pt>
                <c:pt idx="8">
                  <c:v>8</c:v>
                </c:pt>
                <c:pt idx="9">
                  <c:v>10</c:v>
                </c:pt>
                <c:pt idx="10">
                  <c:v>12</c:v>
                </c:pt>
              </c:numCache>
            </c:numRef>
          </c:xVal>
          <c:yVal>
            <c:numRef>
              <c:f>Graphs!$J$81:$J$91</c:f>
              <c:numCache>
                <c:formatCode>General</c:formatCode>
                <c:ptCount val="11"/>
                <c:pt idx="0">
                  <c:v>0.14000000000000001</c:v>
                </c:pt>
                <c:pt idx="1">
                  <c:v>0.23</c:v>
                </c:pt>
                <c:pt idx="2">
                  <c:v>0.33</c:v>
                </c:pt>
                <c:pt idx="3">
                  <c:v>0.43</c:v>
                </c:pt>
                <c:pt idx="4">
                  <c:v>0.54</c:v>
                </c:pt>
                <c:pt idx="5">
                  <c:v>0.64</c:v>
                </c:pt>
                <c:pt idx="6">
                  <c:v>0.75</c:v>
                </c:pt>
                <c:pt idx="7">
                  <c:v>0.84</c:v>
                </c:pt>
                <c:pt idx="8">
                  <c:v>0.96</c:v>
                </c:pt>
                <c:pt idx="9">
                  <c:v>1.05</c:v>
                </c:pt>
                <c:pt idx="10">
                  <c:v>1.1399999999999999</c:v>
                </c:pt>
              </c:numCache>
            </c:numRef>
          </c:yVal>
          <c:smooth val="0"/>
          <c:extLst>
            <c:ext xmlns:c16="http://schemas.microsoft.com/office/drawing/2014/chart" uri="{C3380CC4-5D6E-409C-BE32-E72D297353CC}">
              <c16:uniqueId val="{00000008-20A5-4828-AA83-8D2BDC26B316}"/>
            </c:ext>
          </c:extLst>
        </c:ser>
        <c:dLbls>
          <c:showLegendKey val="0"/>
          <c:showVal val="0"/>
          <c:showCatName val="0"/>
          <c:showSerName val="0"/>
          <c:showPercent val="0"/>
          <c:showBubbleSize val="0"/>
        </c:dLbls>
        <c:axId val="576274400"/>
        <c:axId val="576271264"/>
      </c:scatterChart>
      <c:valAx>
        <c:axId val="576274400"/>
        <c:scaling>
          <c:orientation val="minMax"/>
        </c:scaling>
        <c:delete val="0"/>
        <c:axPos val="b"/>
        <c:majorGridlines/>
        <c:title>
          <c:tx>
            <c:rich>
              <a:bodyPr/>
              <a:lstStyle/>
              <a:p>
                <a:pPr>
                  <a:defRPr/>
                </a:pPr>
                <a:r>
                  <a:rPr lang="en-US"/>
                  <a:t>Angle of Attack</a:t>
                </a:r>
              </a:p>
            </c:rich>
          </c:tx>
          <c:overlay val="0"/>
        </c:title>
        <c:numFmt formatCode="General" sourceLinked="1"/>
        <c:majorTickMark val="out"/>
        <c:minorTickMark val="none"/>
        <c:tickLblPos val="nextTo"/>
        <c:crossAx val="576271264"/>
        <c:crosses val="autoZero"/>
        <c:crossBetween val="midCat"/>
      </c:valAx>
      <c:valAx>
        <c:axId val="576271264"/>
        <c:scaling>
          <c:orientation val="minMax"/>
        </c:scaling>
        <c:delete val="0"/>
        <c:axPos val="l"/>
        <c:majorGridlines/>
        <c:title>
          <c:tx>
            <c:rich>
              <a:bodyPr rot="-5400000" vert="horz"/>
              <a:lstStyle/>
              <a:p>
                <a:pPr>
                  <a:defRPr/>
                </a:pPr>
                <a:r>
                  <a:rPr lang="en-US"/>
                  <a:t>Coefficient of Lift</a:t>
                </a:r>
              </a:p>
            </c:rich>
          </c:tx>
          <c:overlay val="0"/>
        </c:title>
        <c:numFmt formatCode="General" sourceLinked="1"/>
        <c:majorTickMark val="out"/>
        <c:minorTickMark val="none"/>
        <c:tickLblPos val="nextTo"/>
        <c:crossAx val="576274400"/>
        <c:crosses val="autoZero"/>
        <c:crossBetween val="midCat"/>
      </c:valAx>
      <c:spPr>
        <a:noFill/>
      </c:spPr>
    </c:plotArea>
    <c:legend>
      <c:legendPos val="r"/>
      <c:overlay val="0"/>
    </c:legend>
    <c:plotVisOnly val="1"/>
    <c:dispBlanksAs val="gap"/>
    <c:showDLblsOverMax val="0"/>
  </c:chart>
  <c:spPr>
    <a:noFill/>
  </c:spPr>
  <c:txPr>
    <a:bodyPr/>
    <a:lstStyle/>
    <a:p>
      <a:pPr>
        <a:defRPr>
          <a:latin typeface="Arial" pitchFamily="34" charset="0"/>
          <a:cs typeface="Arial" pitchFamily="34" charset="0"/>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marker>
            <c:symbol val="none"/>
          </c:marker>
          <c:trendline>
            <c:trendlineType val="poly"/>
            <c:order val="3"/>
            <c:dispRSqr val="0"/>
            <c:dispEq val="1"/>
            <c:trendlineLbl>
              <c:numFmt formatCode="#,##0.0000000000" sourceLinked="0"/>
            </c:trendlineLbl>
          </c:trendline>
          <c:xVal>
            <c:numRef>
              <c:f>Graphs!$U$79:$U$92</c:f>
              <c:numCache>
                <c:formatCode>General</c:formatCode>
                <c:ptCount val="14"/>
                <c:pt idx="0">
                  <c:v>-8</c:v>
                </c:pt>
                <c:pt idx="1">
                  <c:v>-6</c:v>
                </c:pt>
                <c:pt idx="2">
                  <c:v>-4</c:v>
                </c:pt>
                <c:pt idx="3">
                  <c:v>-2</c:v>
                </c:pt>
                <c:pt idx="4">
                  <c:v>0</c:v>
                </c:pt>
                <c:pt idx="5">
                  <c:v>2</c:v>
                </c:pt>
                <c:pt idx="6">
                  <c:v>4</c:v>
                </c:pt>
                <c:pt idx="7">
                  <c:v>6</c:v>
                </c:pt>
                <c:pt idx="8">
                  <c:v>8</c:v>
                </c:pt>
                <c:pt idx="9">
                  <c:v>10</c:v>
                </c:pt>
                <c:pt idx="10">
                  <c:v>12</c:v>
                </c:pt>
                <c:pt idx="11">
                  <c:v>14</c:v>
                </c:pt>
                <c:pt idx="12">
                  <c:v>16</c:v>
                </c:pt>
                <c:pt idx="13">
                  <c:v>18</c:v>
                </c:pt>
              </c:numCache>
            </c:numRef>
          </c:xVal>
          <c:yVal>
            <c:numRef>
              <c:f>Graphs!$W$79:$W$92</c:f>
              <c:numCache>
                <c:formatCode>General</c:formatCode>
                <c:ptCount val="14"/>
                <c:pt idx="0">
                  <c:v>2.5000000000000001E-2</c:v>
                </c:pt>
                <c:pt idx="1">
                  <c:v>3.6999999999999998E-2</c:v>
                </c:pt>
                <c:pt idx="2">
                  <c:v>0.04</c:v>
                </c:pt>
                <c:pt idx="3">
                  <c:v>0.05</c:v>
                </c:pt>
                <c:pt idx="4">
                  <c:v>6.5000000000000002E-2</c:v>
                </c:pt>
                <c:pt idx="5">
                  <c:v>0.08</c:v>
                </c:pt>
                <c:pt idx="6">
                  <c:v>0.1</c:v>
                </c:pt>
                <c:pt idx="7">
                  <c:v>0.125</c:v>
                </c:pt>
                <c:pt idx="8">
                  <c:v>0.14000000000000001</c:v>
                </c:pt>
                <c:pt idx="9">
                  <c:v>0.17</c:v>
                </c:pt>
                <c:pt idx="10">
                  <c:v>0.20499999999999999</c:v>
                </c:pt>
                <c:pt idx="11">
                  <c:v>0.24</c:v>
                </c:pt>
                <c:pt idx="12">
                  <c:v>0.28000000000000003</c:v>
                </c:pt>
                <c:pt idx="13">
                  <c:v>0.315</c:v>
                </c:pt>
              </c:numCache>
            </c:numRef>
          </c:yVal>
          <c:smooth val="1"/>
          <c:extLst>
            <c:ext xmlns:c16="http://schemas.microsoft.com/office/drawing/2014/chart" uri="{C3380CC4-5D6E-409C-BE32-E72D297353CC}">
              <c16:uniqueId val="{00000000-8633-4A7C-A8F3-7CBDD259DD3E}"/>
            </c:ext>
          </c:extLst>
        </c:ser>
        <c:dLbls>
          <c:showLegendKey val="0"/>
          <c:showVal val="0"/>
          <c:showCatName val="0"/>
          <c:showSerName val="0"/>
          <c:showPercent val="0"/>
          <c:showBubbleSize val="0"/>
        </c:dLbls>
        <c:axId val="756999536"/>
        <c:axId val="757004240"/>
      </c:scatterChart>
      <c:valAx>
        <c:axId val="756999536"/>
        <c:scaling>
          <c:orientation val="minMax"/>
        </c:scaling>
        <c:delete val="0"/>
        <c:axPos val="b"/>
        <c:numFmt formatCode="General" sourceLinked="1"/>
        <c:majorTickMark val="out"/>
        <c:minorTickMark val="none"/>
        <c:tickLblPos val="nextTo"/>
        <c:crossAx val="757004240"/>
        <c:crosses val="autoZero"/>
        <c:crossBetween val="midCat"/>
      </c:valAx>
      <c:valAx>
        <c:axId val="757004240"/>
        <c:scaling>
          <c:orientation val="minMax"/>
        </c:scaling>
        <c:delete val="0"/>
        <c:axPos val="l"/>
        <c:majorGridlines/>
        <c:numFmt formatCode="General" sourceLinked="1"/>
        <c:majorTickMark val="out"/>
        <c:minorTickMark val="none"/>
        <c:tickLblPos val="nextTo"/>
        <c:crossAx val="756999536"/>
        <c:crosses val="autoZero"/>
        <c:crossBetween val="midCat"/>
      </c:valAx>
    </c:plotArea>
    <c:legend>
      <c:legendPos val="r"/>
      <c:overlay val="0"/>
    </c:legend>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Graphs!$B$110</c:f>
              <c:strCache>
                <c:ptCount val="1"/>
                <c:pt idx="0">
                  <c:v>-4</c:v>
                </c:pt>
              </c:strCache>
            </c:strRef>
          </c:tx>
          <c:marker>
            <c:symbol val="none"/>
          </c:marker>
          <c:xVal>
            <c:numRef>
              <c:f>Graphs!$A$111:$A$116</c:f>
              <c:numCache>
                <c:formatCode>General</c:formatCode>
                <c:ptCount val="6"/>
                <c:pt idx="0">
                  <c:v>4.2000000000000003E-2</c:v>
                </c:pt>
                <c:pt idx="1">
                  <c:v>8.3000000000000004E-2</c:v>
                </c:pt>
                <c:pt idx="2">
                  <c:v>0.16700000000000001</c:v>
                </c:pt>
                <c:pt idx="3">
                  <c:v>0.33300000000000002</c:v>
                </c:pt>
                <c:pt idx="4">
                  <c:v>0.5</c:v>
                </c:pt>
                <c:pt idx="5">
                  <c:v>1000</c:v>
                </c:pt>
              </c:numCache>
            </c:numRef>
          </c:xVal>
          <c:yVal>
            <c:numRef>
              <c:f>Graphs!$B$111:$B$116</c:f>
              <c:numCache>
                <c:formatCode>General</c:formatCode>
                <c:ptCount val="6"/>
                <c:pt idx="0">
                  <c:v>-7.1500000000000008E-2</c:v>
                </c:pt>
                <c:pt idx="1">
                  <c:v>8.4199999999999942E-2</c:v>
                </c:pt>
                <c:pt idx="2">
                  <c:v>0.22750000000000004</c:v>
                </c:pt>
                <c:pt idx="3">
                  <c:v>0.307</c:v>
                </c:pt>
                <c:pt idx="4">
                  <c:v>0.33249999999999996</c:v>
                </c:pt>
                <c:pt idx="5">
                  <c:v>0.33550000000000002</c:v>
                </c:pt>
              </c:numCache>
            </c:numRef>
          </c:yVal>
          <c:smooth val="0"/>
          <c:extLst>
            <c:ext xmlns:c16="http://schemas.microsoft.com/office/drawing/2014/chart" uri="{C3380CC4-5D6E-409C-BE32-E72D297353CC}">
              <c16:uniqueId val="{00000000-E7F6-4115-ABD6-17457DB3C4C9}"/>
            </c:ext>
          </c:extLst>
        </c:ser>
        <c:ser>
          <c:idx val="1"/>
          <c:order val="1"/>
          <c:tx>
            <c:strRef>
              <c:f>Graphs!$C$110</c:f>
              <c:strCache>
                <c:ptCount val="1"/>
                <c:pt idx="0">
                  <c:v>-2</c:v>
                </c:pt>
              </c:strCache>
            </c:strRef>
          </c:tx>
          <c:marker>
            <c:symbol val="none"/>
          </c:marker>
          <c:xVal>
            <c:numRef>
              <c:f>Graphs!$A$111:$A$116</c:f>
              <c:numCache>
                <c:formatCode>General</c:formatCode>
                <c:ptCount val="6"/>
                <c:pt idx="0">
                  <c:v>4.2000000000000003E-2</c:v>
                </c:pt>
                <c:pt idx="1">
                  <c:v>8.3000000000000004E-2</c:v>
                </c:pt>
                <c:pt idx="2">
                  <c:v>0.16700000000000001</c:v>
                </c:pt>
                <c:pt idx="3">
                  <c:v>0.33300000000000002</c:v>
                </c:pt>
                <c:pt idx="4">
                  <c:v>0.5</c:v>
                </c:pt>
                <c:pt idx="5">
                  <c:v>1000</c:v>
                </c:pt>
              </c:numCache>
            </c:numRef>
          </c:xVal>
          <c:yVal>
            <c:numRef>
              <c:f>Graphs!$C$111:$C$116</c:f>
              <c:numCache>
                <c:formatCode>General</c:formatCode>
                <c:ptCount val="6"/>
                <c:pt idx="0">
                  <c:v>0.18969999999999998</c:v>
                </c:pt>
                <c:pt idx="1">
                  <c:v>0.316</c:v>
                </c:pt>
                <c:pt idx="2">
                  <c:v>0.40150000000000002</c:v>
                </c:pt>
                <c:pt idx="3">
                  <c:v>0.43520000000000003</c:v>
                </c:pt>
                <c:pt idx="4">
                  <c:v>0.44969999999999999</c:v>
                </c:pt>
                <c:pt idx="5">
                  <c:v>0.43730000000000002</c:v>
                </c:pt>
              </c:numCache>
            </c:numRef>
          </c:yVal>
          <c:smooth val="0"/>
          <c:extLst>
            <c:ext xmlns:c16="http://schemas.microsoft.com/office/drawing/2014/chart" uri="{C3380CC4-5D6E-409C-BE32-E72D297353CC}">
              <c16:uniqueId val="{00000001-E7F6-4115-ABD6-17457DB3C4C9}"/>
            </c:ext>
          </c:extLst>
        </c:ser>
        <c:ser>
          <c:idx val="2"/>
          <c:order val="2"/>
          <c:tx>
            <c:strRef>
              <c:f>Graphs!$D$110</c:f>
              <c:strCache>
                <c:ptCount val="1"/>
                <c:pt idx="0">
                  <c:v>0</c:v>
                </c:pt>
              </c:strCache>
            </c:strRef>
          </c:tx>
          <c:marker>
            <c:symbol val="none"/>
          </c:marker>
          <c:xVal>
            <c:numRef>
              <c:f>Graphs!$A$111:$A$116</c:f>
              <c:numCache>
                <c:formatCode>General</c:formatCode>
                <c:ptCount val="6"/>
                <c:pt idx="0">
                  <c:v>4.2000000000000003E-2</c:v>
                </c:pt>
                <c:pt idx="1">
                  <c:v>8.3000000000000004E-2</c:v>
                </c:pt>
                <c:pt idx="2">
                  <c:v>0.16700000000000001</c:v>
                </c:pt>
                <c:pt idx="3">
                  <c:v>0.33300000000000002</c:v>
                </c:pt>
                <c:pt idx="4">
                  <c:v>0.5</c:v>
                </c:pt>
                <c:pt idx="5">
                  <c:v>1000</c:v>
                </c:pt>
              </c:numCache>
            </c:numRef>
          </c:xVal>
          <c:yVal>
            <c:numRef>
              <c:f>Graphs!$D$111:$D$116</c:f>
              <c:numCache>
                <c:formatCode>General</c:formatCode>
                <c:ptCount val="6"/>
                <c:pt idx="0">
                  <c:v>0.57489999999999997</c:v>
                </c:pt>
                <c:pt idx="1">
                  <c:v>0.56859999999999999</c:v>
                </c:pt>
                <c:pt idx="2">
                  <c:v>0.57550000000000001</c:v>
                </c:pt>
                <c:pt idx="3">
                  <c:v>0.56340000000000001</c:v>
                </c:pt>
                <c:pt idx="4">
                  <c:v>0.56689999999999996</c:v>
                </c:pt>
                <c:pt idx="5">
                  <c:v>0.53910000000000002</c:v>
                </c:pt>
              </c:numCache>
            </c:numRef>
          </c:yVal>
          <c:smooth val="0"/>
          <c:extLst>
            <c:ext xmlns:c16="http://schemas.microsoft.com/office/drawing/2014/chart" uri="{C3380CC4-5D6E-409C-BE32-E72D297353CC}">
              <c16:uniqueId val="{00000002-E7F6-4115-ABD6-17457DB3C4C9}"/>
            </c:ext>
          </c:extLst>
        </c:ser>
        <c:ser>
          <c:idx val="3"/>
          <c:order val="3"/>
          <c:tx>
            <c:strRef>
              <c:f>Graphs!$E$110</c:f>
              <c:strCache>
                <c:ptCount val="1"/>
                <c:pt idx="0">
                  <c:v>2</c:v>
                </c:pt>
              </c:strCache>
            </c:strRef>
          </c:tx>
          <c:marker>
            <c:symbol val="none"/>
          </c:marker>
          <c:xVal>
            <c:numRef>
              <c:f>Graphs!$A$111:$A$116</c:f>
              <c:numCache>
                <c:formatCode>General</c:formatCode>
                <c:ptCount val="6"/>
                <c:pt idx="0">
                  <c:v>4.2000000000000003E-2</c:v>
                </c:pt>
                <c:pt idx="1">
                  <c:v>8.3000000000000004E-2</c:v>
                </c:pt>
                <c:pt idx="2">
                  <c:v>0.16700000000000001</c:v>
                </c:pt>
                <c:pt idx="3">
                  <c:v>0.33300000000000002</c:v>
                </c:pt>
                <c:pt idx="4">
                  <c:v>0.5</c:v>
                </c:pt>
                <c:pt idx="5">
                  <c:v>1000</c:v>
                </c:pt>
              </c:numCache>
            </c:numRef>
          </c:xVal>
          <c:yVal>
            <c:numRef>
              <c:f>Graphs!$E$111:$E$116</c:f>
              <c:numCache>
                <c:formatCode>General</c:formatCode>
                <c:ptCount val="6"/>
                <c:pt idx="0">
                  <c:v>1.0840999999999998</c:v>
                </c:pt>
                <c:pt idx="1">
                  <c:v>0.84200000000000008</c:v>
                </c:pt>
                <c:pt idx="2">
                  <c:v>0.74950000000000006</c:v>
                </c:pt>
                <c:pt idx="3">
                  <c:v>0.69159999999999999</c:v>
                </c:pt>
                <c:pt idx="4">
                  <c:v>0.68409999999999993</c:v>
                </c:pt>
                <c:pt idx="5">
                  <c:v>0.64090000000000003</c:v>
                </c:pt>
              </c:numCache>
            </c:numRef>
          </c:yVal>
          <c:smooth val="0"/>
          <c:extLst>
            <c:ext xmlns:c16="http://schemas.microsoft.com/office/drawing/2014/chart" uri="{C3380CC4-5D6E-409C-BE32-E72D297353CC}">
              <c16:uniqueId val="{00000003-E7F6-4115-ABD6-17457DB3C4C9}"/>
            </c:ext>
          </c:extLst>
        </c:ser>
        <c:ser>
          <c:idx val="4"/>
          <c:order val="4"/>
          <c:tx>
            <c:strRef>
              <c:f>Graphs!$F$110</c:f>
              <c:strCache>
                <c:ptCount val="1"/>
                <c:pt idx="0">
                  <c:v>4</c:v>
                </c:pt>
              </c:strCache>
            </c:strRef>
          </c:tx>
          <c:marker>
            <c:symbol val="none"/>
          </c:marker>
          <c:xVal>
            <c:numRef>
              <c:f>Graphs!$A$111:$A$116</c:f>
              <c:numCache>
                <c:formatCode>General</c:formatCode>
                <c:ptCount val="6"/>
                <c:pt idx="0">
                  <c:v>4.2000000000000003E-2</c:v>
                </c:pt>
                <c:pt idx="1">
                  <c:v>8.3000000000000004E-2</c:v>
                </c:pt>
                <c:pt idx="2">
                  <c:v>0.16700000000000001</c:v>
                </c:pt>
                <c:pt idx="3">
                  <c:v>0.33300000000000002</c:v>
                </c:pt>
                <c:pt idx="4">
                  <c:v>0.5</c:v>
                </c:pt>
                <c:pt idx="5">
                  <c:v>1000</c:v>
                </c:pt>
              </c:numCache>
            </c:numRef>
          </c:xVal>
          <c:yVal>
            <c:numRef>
              <c:f>Graphs!$F$111:$F$116</c:f>
              <c:numCache>
                <c:formatCode>General</c:formatCode>
                <c:ptCount val="6"/>
                <c:pt idx="1">
                  <c:v>1.1362000000000001</c:v>
                </c:pt>
                <c:pt idx="2">
                  <c:v>0.92349999999999999</c:v>
                </c:pt>
                <c:pt idx="3">
                  <c:v>0.81980000000000008</c:v>
                </c:pt>
                <c:pt idx="4">
                  <c:v>0.8012999999999999</c:v>
                </c:pt>
                <c:pt idx="5">
                  <c:v>0.74270000000000003</c:v>
                </c:pt>
              </c:numCache>
            </c:numRef>
          </c:yVal>
          <c:smooth val="0"/>
          <c:extLst>
            <c:ext xmlns:c16="http://schemas.microsoft.com/office/drawing/2014/chart" uri="{C3380CC4-5D6E-409C-BE32-E72D297353CC}">
              <c16:uniqueId val="{00000004-E7F6-4115-ABD6-17457DB3C4C9}"/>
            </c:ext>
          </c:extLst>
        </c:ser>
        <c:ser>
          <c:idx val="5"/>
          <c:order val="5"/>
          <c:tx>
            <c:strRef>
              <c:f>Graphs!$G$110</c:f>
              <c:strCache>
                <c:ptCount val="1"/>
                <c:pt idx="0">
                  <c:v>6</c:v>
                </c:pt>
              </c:strCache>
            </c:strRef>
          </c:tx>
          <c:marker>
            <c:symbol val="none"/>
          </c:marker>
          <c:xVal>
            <c:numRef>
              <c:f>Graphs!$A$111:$A$116</c:f>
              <c:numCache>
                <c:formatCode>General</c:formatCode>
                <c:ptCount val="6"/>
                <c:pt idx="0">
                  <c:v>4.2000000000000003E-2</c:v>
                </c:pt>
                <c:pt idx="1">
                  <c:v>8.3000000000000004E-2</c:v>
                </c:pt>
                <c:pt idx="2">
                  <c:v>0.16700000000000001</c:v>
                </c:pt>
                <c:pt idx="3">
                  <c:v>0.33300000000000002</c:v>
                </c:pt>
                <c:pt idx="4">
                  <c:v>0.5</c:v>
                </c:pt>
                <c:pt idx="5">
                  <c:v>1000</c:v>
                </c:pt>
              </c:numCache>
            </c:numRef>
          </c:xVal>
          <c:yVal>
            <c:numRef>
              <c:f>Graphs!$G$111:$G$116</c:f>
              <c:numCache>
                <c:formatCode>General</c:formatCode>
                <c:ptCount val="6"/>
                <c:pt idx="2">
                  <c:v>1.0975000000000001</c:v>
                </c:pt>
                <c:pt idx="3">
                  <c:v>0.94800000000000006</c:v>
                </c:pt>
                <c:pt idx="4">
                  <c:v>0.91849999999999998</c:v>
                </c:pt>
                <c:pt idx="5">
                  <c:v>0.84450000000000003</c:v>
                </c:pt>
              </c:numCache>
            </c:numRef>
          </c:yVal>
          <c:smooth val="0"/>
          <c:extLst>
            <c:ext xmlns:c16="http://schemas.microsoft.com/office/drawing/2014/chart" uri="{C3380CC4-5D6E-409C-BE32-E72D297353CC}">
              <c16:uniqueId val="{00000005-E7F6-4115-ABD6-17457DB3C4C9}"/>
            </c:ext>
          </c:extLst>
        </c:ser>
        <c:ser>
          <c:idx val="6"/>
          <c:order val="6"/>
          <c:tx>
            <c:strRef>
              <c:f>Graphs!$H$110</c:f>
              <c:strCache>
                <c:ptCount val="1"/>
                <c:pt idx="0">
                  <c:v>8</c:v>
                </c:pt>
              </c:strCache>
            </c:strRef>
          </c:tx>
          <c:marker>
            <c:symbol val="none"/>
          </c:marker>
          <c:xVal>
            <c:numRef>
              <c:f>Graphs!$A$111:$A$116</c:f>
              <c:numCache>
                <c:formatCode>General</c:formatCode>
                <c:ptCount val="6"/>
                <c:pt idx="0">
                  <c:v>4.2000000000000003E-2</c:v>
                </c:pt>
                <c:pt idx="1">
                  <c:v>8.3000000000000004E-2</c:v>
                </c:pt>
                <c:pt idx="2">
                  <c:v>0.16700000000000001</c:v>
                </c:pt>
                <c:pt idx="3">
                  <c:v>0.33300000000000002</c:v>
                </c:pt>
                <c:pt idx="4">
                  <c:v>0.5</c:v>
                </c:pt>
                <c:pt idx="5">
                  <c:v>1000</c:v>
                </c:pt>
              </c:numCache>
            </c:numRef>
          </c:xVal>
          <c:yVal>
            <c:numRef>
              <c:f>Graphs!$H$111:$H$116</c:f>
              <c:numCache>
                <c:formatCode>General</c:formatCode>
                <c:ptCount val="6"/>
                <c:pt idx="2">
                  <c:v>1.2715000000000001</c:v>
                </c:pt>
                <c:pt idx="3">
                  <c:v>1.0762</c:v>
                </c:pt>
                <c:pt idx="4">
                  <c:v>1.0356999999999998</c:v>
                </c:pt>
                <c:pt idx="5">
                  <c:v>0.94630000000000003</c:v>
                </c:pt>
              </c:numCache>
            </c:numRef>
          </c:yVal>
          <c:smooth val="0"/>
          <c:extLst>
            <c:ext xmlns:c16="http://schemas.microsoft.com/office/drawing/2014/chart" uri="{C3380CC4-5D6E-409C-BE32-E72D297353CC}">
              <c16:uniqueId val="{00000006-E7F6-4115-ABD6-17457DB3C4C9}"/>
            </c:ext>
          </c:extLst>
        </c:ser>
        <c:ser>
          <c:idx val="7"/>
          <c:order val="7"/>
          <c:tx>
            <c:strRef>
              <c:f>Graphs!$I$110</c:f>
              <c:strCache>
                <c:ptCount val="1"/>
                <c:pt idx="0">
                  <c:v>10</c:v>
                </c:pt>
              </c:strCache>
            </c:strRef>
          </c:tx>
          <c:marker>
            <c:symbol val="none"/>
          </c:marker>
          <c:xVal>
            <c:numRef>
              <c:f>Graphs!$A$111:$A$116</c:f>
              <c:numCache>
                <c:formatCode>General</c:formatCode>
                <c:ptCount val="6"/>
                <c:pt idx="0">
                  <c:v>4.2000000000000003E-2</c:v>
                </c:pt>
                <c:pt idx="1">
                  <c:v>8.3000000000000004E-2</c:v>
                </c:pt>
                <c:pt idx="2">
                  <c:v>0.16700000000000001</c:v>
                </c:pt>
                <c:pt idx="3">
                  <c:v>0.33300000000000002</c:v>
                </c:pt>
                <c:pt idx="4">
                  <c:v>0.5</c:v>
                </c:pt>
                <c:pt idx="5">
                  <c:v>1000</c:v>
                </c:pt>
              </c:numCache>
            </c:numRef>
          </c:xVal>
          <c:yVal>
            <c:numRef>
              <c:f>Graphs!$I$111:$I$116</c:f>
              <c:numCache>
                <c:formatCode>General</c:formatCode>
                <c:ptCount val="6"/>
                <c:pt idx="2">
                  <c:v>1.4455</c:v>
                </c:pt>
                <c:pt idx="3">
                  <c:v>1.2044000000000001</c:v>
                </c:pt>
                <c:pt idx="4">
                  <c:v>1.1528999999999998</c:v>
                </c:pt>
                <c:pt idx="5">
                  <c:v>1.0481</c:v>
                </c:pt>
              </c:numCache>
            </c:numRef>
          </c:yVal>
          <c:smooth val="0"/>
          <c:extLst>
            <c:ext xmlns:c16="http://schemas.microsoft.com/office/drawing/2014/chart" uri="{C3380CC4-5D6E-409C-BE32-E72D297353CC}">
              <c16:uniqueId val="{00000007-E7F6-4115-ABD6-17457DB3C4C9}"/>
            </c:ext>
          </c:extLst>
        </c:ser>
        <c:dLbls>
          <c:showLegendKey val="0"/>
          <c:showVal val="0"/>
          <c:showCatName val="0"/>
          <c:showSerName val="0"/>
          <c:showPercent val="0"/>
          <c:showBubbleSize val="0"/>
        </c:dLbls>
        <c:axId val="576281456"/>
        <c:axId val="576281848"/>
      </c:scatterChart>
      <c:valAx>
        <c:axId val="576281456"/>
        <c:scaling>
          <c:logBase val="10"/>
          <c:orientation val="minMax"/>
          <c:max val="10"/>
        </c:scaling>
        <c:delete val="0"/>
        <c:axPos val="b"/>
        <c:minorGridlines/>
        <c:title>
          <c:tx>
            <c:rich>
              <a:bodyPr/>
              <a:lstStyle/>
              <a:p>
                <a:pPr>
                  <a:defRPr/>
                </a:pPr>
                <a:r>
                  <a:rPr lang="en-US"/>
                  <a:t>h/c</a:t>
                </a:r>
              </a:p>
            </c:rich>
          </c:tx>
          <c:overlay val="0"/>
        </c:title>
        <c:numFmt formatCode="General" sourceLinked="1"/>
        <c:majorTickMark val="out"/>
        <c:minorTickMark val="none"/>
        <c:tickLblPos val="nextTo"/>
        <c:crossAx val="576281848"/>
        <c:crosses val="autoZero"/>
        <c:crossBetween val="midCat"/>
      </c:valAx>
      <c:valAx>
        <c:axId val="576281848"/>
        <c:scaling>
          <c:orientation val="minMax"/>
        </c:scaling>
        <c:delete val="0"/>
        <c:axPos val="l"/>
        <c:majorGridlines/>
        <c:title>
          <c:tx>
            <c:rich>
              <a:bodyPr rot="-5400000" vert="horz"/>
              <a:lstStyle/>
              <a:p>
                <a:pPr>
                  <a:defRPr/>
                </a:pPr>
                <a:r>
                  <a:rPr lang="en-US"/>
                  <a:t>Coefficient of lift</a:t>
                </a:r>
              </a:p>
            </c:rich>
          </c:tx>
          <c:overlay val="0"/>
        </c:title>
        <c:numFmt formatCode="General" sourceLinked="1"/>
        <c:majorTickMark val="out"/>
        <c:minorTickMark val="none"/>
        <c:tickLblPos val="nextTo"/>
        <c:crossAx val="576281456"/>
        <c:crosses val="autoZero"/>
        <c:crossBetween val="midCat"/>
      </c:valAx>
    </c:plotArea>
    <c:legend>
      <c:legendPos val="r"/>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Graphs!$C$123</c:f>
              <c:strCache>
                <c:ptCount val="1"/>
                <c:pt idx="0">
                  <c:v>σ</c:v>
                </c:pt>
              </c:strCache>
            </c:strRef>
          </c:tx>
          <c:marker>
            <c:symbol val="none"/>
          </c:marker>
          <c:xVal>
            <c:numRef>
              <c:f>Graphs!$A$124:$A$176</c:f>
              <c:numCache>
                <c:formatCode>General</c:formatCode>
                <c:ptCount val="53"/>
                <c:pt idx="0">
                  <c:v>0.1</c:v>
                </c:pt>
                <c:pt idx="1">
                  <c:v>0.2</c:v>
                </c:pt>
                <c:pt idx="2">
                  <c:v>0.3</c:v>
                </c:pt>
                <c:pt idx="3">
                  <c:v>0.4</c:v>
                </c:pt>
                <c:pt idx="4">
                  <c:v>0.5</c:v>
                </c:pt>
                <c:pt idx="5">
                  <c:v>0.6</c:v>
                </c:pt>
                <c:pt idx="6">
                  <c:v>0.7</c:v>
                </c:pt>
                <c:pt idx="7">
                  <c:v>0.8</c:v>
                </c:pt>
                <c:pt idx="8">
                  <c:v>0.9</c:v>
                </c:pt>
                <c:pt idx="9">
                  <c:v>1</c:v>
                </c:pt>
                <c:pt idx="10">
                  <c:v>1.1000000000000001</c:v>
                </c:pt>
                <c:pt idx="11">
                  <c:v>1.2</c:v>
                </c:pt>
                <c:pt idx="12">
                  <c:v>1.3</c:v>
                </c:pt>
                <c:pt idx="13">
                  <c:v>1.4</c:v>
                </c:pt>
                <c:pt idx="14">
                  <c:v>1.5</c:v>
                </c:pt>
                <c:pt idx="15">
                  <c:v>1.6</c:v>
                </c:pt>
                <c:pt idx="16">
                  <c:v>1.7</c:v>
                </c:pt>
                <c:pt idx="17">
                  <c:v>1.8</c:v>
                </c:pt>
                <c:pt idx="18">
                  <c:v>1.9</c:v>
                </c:pt>
                <c:pt idx="19">
                  <c:v>2</c:v>
                </c:pt>
                <c:pt idx="20">
                  <c:v>2.1</c:v>
                </c:pt>
                <c:pt idx="21">
                  <c:v>2.2000000000000002</c:v>
                </c:pt>
                <c:pt idx="22">
                  <c:v>2.2999999999999998</c:v>
                </c:pt>
                <c:pt idx="23">
                  <c:v>2.4</c:v>
                </c:pt>
                <c:pt idx="24">
                  <c:v>2.5</c:v>
                </c:pt>
                <c:pt idx="25">
                  <c:v>2.6</c:v>
                </c:pt>
                <c:pt idx="26">
                  <c:v>2.7</c:v>
                </c:pt>
                <c:pt idx="27">
                  <c:v>2.8</c:v>
                </c:pt>
                <c:pt idx="28">
                  <c:v>2.9</c:v>
                </c:pt>
                <c:pt idx="29">
                  <c:v>3</c:v>
                </c:pt>
                <c:pt idx="30">
                  <c:v>3.1</c:v>
                </c:pt>
                <c:pt idx="31">
                  <c:v>3.2</c:v>
                </c:pt>
                <c:pt idx="32">
                  <c:v>3.3</c:v>
                </c:pt>
                <c:pt idx="33">
                  <c:v>3.4</c:v>
                </c:pt>
                <c:pt idx="34">
                  <c:v>3.5</c:v>
                </c:pt>
                <c:pt idx="35">
                  <c:v>3.6</c:v>
                </c:pt>
                <c:pt idx="36">
                  <c:v>3.7</c:v>
                </c:pt>
                <c:pt idx="37">
                  <c:v>3.8</c:v>
                </c:pt>
                <c:pt idx="38">
                  <c:v>3.9</c:v>
                </c:pt>
                <c:pt idx="39">
                  <c:v>4</c:v>
                </c:pt>
                <c:pt idx="40">
                  <c:v>4.0999999999999996</c:v>
                </c:pt>
                <c:pt idx="41">
                  <c:v>4.2</c:v>
                </c:pt>
                <c:pt idx="42">
                  <c:v>4.3</c:v>
                </c:pt>
                <c:pt idx="43">
                  <c:v>4.4000000000000004</c:v>
                </c:pt>
                <c:pt idx="44">
                  <c:v>4.5</c:v>
                </c:pt>
                <c:pt idx="45">
                  <c:v>4.5999999999999996</c:v>
                </c:pt>
                <c:pt idx="46">
                  <c:v>4.7</c:v>
                </c:pt>
                <c:pt idx="47">
                  <c:v>4.8</c:v>
                </c:pt>
                <c:pt idx="48">
                  <c:v>4.9000000000000004</c:v>
                </c:pt>
                <c:pt idx="49">
                  <c:v>5</c:v>
                </c:pt>
                <c:pt idx="50">
                  <c:v>5.0999999999999996</c:v>
                </c:pt>
                <c:pt idx="51">
                  <c:v>5.2</c:v>
                </c:pt>
                <c:pt idx="52">
                  <c:v>5.3</c:v>
                </c:pt>
              </c:numCache>
            </c:numRef>
          </c:xVal>
          <c:yVal>
            <c:numRef>
              <c:f>Graphs!$C$124:$C$176</c:f>
              <c:numCache>
                <c:formatCode>0.00</c:formatCode>
                <c:ptCount val="53"/>
                <c:pt idx="0">
                  <c:v>0.90467502850627146</c:v>
                </c:pt>
                <c:pt idx="1">
                  <c:v>0.8608315098468271</c:v>
                </c:pt>
                <c:pt idx="2">
                  <c:v>0.82039957939011565</c:v>
                </c:pt>
                <c:pt idx="3">
                  <c:v>0.78299595141700395</c:v>
                </c:pt>
                <c:pt idx="4">
                  <c:v>0.74829268292682927</c:v>
                </c:pt>
                <c:pt idx="5">
                  <c:v>0.7160075329566854</c:v>
                </c:pt>
                <c:pt idx="6">
                  <c:v>0.68589626933575976</c:v>
                </c:pt>
                <c:pt idx="7">
                  <c:v>0.65774647887323934</c:v>
                </c:pt>
                <c:pt idx="8">
                  <c:v>0.63137254901960782</c:v>
                </c:pt>
                <c:pt idx="9">
                  <c:v>0.60661157024793377</c:v>
                </c:pt>
                <c:pt idx="10">
                  <c:v>0.58331996792301521</c:v>
                </c:pt>
                <c:pt idx="11">
                  <c:v>0.56137071651090342</c:v>
                </c:pt>
                <c:pt idx="12">
                  <c:v>0.5406510219530658</c:v>
                </c:pt>
                <c:pt idx="13">
                  <c:v>0.52106038291605306</c:v>
                </c:pt>
                <c:pt idx="14">
                  <c:v>0.5025089605734766</c:v>
                </c:pt>
                <c:pt idx="15">
                  <c:v>0.48491620111731842</c:v>
                </c:pt>
                <c:pt idx="16">
                  <c:v>0.46820966643975492</c:v>
                </c:pt>
                <c:pt idx="17">
                  <c:v>0.45232403718459491</c:v>
                </c:pt>
                <c:pt idx="18">
                  <c:v>0.43720025923525602</c:v>
                </c:pt>
                <c:pt idx="19">
                  <c:v>0.42278481012658226</c:v>
                </c:pt>
                <c:pt idx="20">
                  <c:v>0.40902906617192325</c:v>
                </c:pt>
                <c:pt idx="21">
                  <c:v>0.39588875453446193</c:v>
                </c:pt>
                <c:pt idx="22">
                  <c:v>0.3833234772324069</c:v>
                </c:pt>
                <c:pt idx="23">
                  <c:v>0.37129629629629629</c:v>
                </c:pt>
                <c:pt idx="24">
                  <c:v>0.35977337110481589</c:v>
                </c:pt>
                <c:pt idx="25">
                  <c:v>0.348723640399556</c:v>
                </c:pt>
                <c:pt idx="26">
                  <c:v>0.33811854268624253</c:v>
                </c:pt>
                <c:pt idx="27">
                  <c:v>0.32793176972281451</c:v>
                </c:pt>
                <c:pt idx="28">
                  <c:v>0.31813904861474124</c:v>
                </c:pt>
                <c:pt idx="29">
                  <c:v>0.30871794871794872</c:v>
                </c:pt>
                <c:pt idx="30">
                  <c:v>0.29964771011575236</c:v>
                </c:pt>
                <c:pt idx="31">
                  <c:v>0.29090909090909089</c:v>
                </c:pt>
                <c:pt idx="32">
                  <c:v>0.28248423095584668</c:v>
                </c:pt>
                <c:pt idx="33">
                  <c:v>0.27435653002859867</c:v>
                </c:pt>
                <c:pt idx="34">
                  <c:v>0.26651053864168617</c:v>
                </c:pt>
                <c:pt idx="35">
                  <c:v>0.25893186003683238</c:v>
                </c:pt>
                <c:pt idx="36">
                  <c:v>0.25160706201901306</c:v>
                </c:pt>
                <c:pt idx="37">
                  <c:v>0.24452359750667854</c:v>
                </c:pt>
                <c:pt idx="38">
                  <c:v>0.23766973280770917</c:v>
                </c:pt>
                <c:pt idx="39">
                  <c:v>0.23103448275862062</c:v>
                </c:pt>
                <c:pt idx="40">
                  <c:v>0.22460755197284685</c:v>
                </c:pt>
                <c:pt idx="41">
                  <c:v>0.21837928153717626</c:v>
                </c:pt>
                <c:pt idx="42">
                  <c:v>0.21234060057589468</c:v>
                </c:pt>
                <c:pt idx="43">
                  <c:v>0.20648298217179903</c:v>
                </c:pt>
                <c:pt idx="44">
                  <c:v>0.20079840319361272</c:v>
                </c:pt>
                <c:pt idx="45">
                  <c:v>0.195279307631786</c:v>
                </c:pt>
                <c:pt idx="46">
                  <c:v>0.1899185730903451</c:v>
                </c:pt>
                <c:pt idx="47">
                  <c:v>0.18470948012232413</c:v>
                </c:pt>
                <c:pt idx="48">
                  <c:v>0.17964568413117224</c:v>
                </c:pt>
                <c:pt idx="49">
                  <c:v>0.17472118959107805</c:v>
                </c:pt>
                <c:pt idx="50">
                  <c:v>0.16993032636596991</c:v>
                </c:pt>
                <c:pt idx="51">
                  <c:v>0.16526772793053543</c:v>
                </c:pt>
                <c:pt idx="52">
                  <c:v>0.16072831131738666</c:v>
                </c:pt>
              </c:numCache>
            </c:numRef>
          </c:yVal>
          <c:smooth val="1"/>
          <c:extLst>
            <c:ext xmlns:c16="http://schemas.microsoft.com/office/drawing/2014/chart" uri="{C3380CC4-5D6E-409C-BE32-E72D297353CC}">
              <c16:uniqueId val="{00000000-F3B2-441F-9DDC-A7FFA024A53F}"/>
            </c:ext>
          </c:extLst>
        </c:ser>
        <c:dLbls>
          <c:showLegendKey val="0"/>
          <c:showVal val="0"/>
          <c:showCatName val="0"/>
          <c:showSerName val="0"/>
          <c:showPercent val="0"/>
          <c:showBubbleSize val="0"/>
        </c:dLbls>
        <c:axId val="576270088"/>
        <c:axId val="576270480"/>
      </c:scatterChart>
      <c:valAx>
        <c:axId val="576270088"/>
        <c:scaling>
          <c:orientation val="minMax"/>
        </c:scaling>
        <c:delete val="0"/>
        <c:axPos val="b"/>
        <c:majorGridlines/>
        <c:title>
          <c:tx>
            <c:rich>
              <a:bodyPr/>
              <a:lstStyle/>
              <a:p>
                <a:pPr>
                  <a:defRPr/>
                </a:pPr>
                <a:r>
                  <a:rPr lang="en-US"/>
                  <a:t>height (ft)</a:t>
                </a:r>
              </a:p>
            </c:rich>
          </c:tx>
          <c:overlay val="0"/>
        </c:title>
        <c:numFmt formatCode="General" sourceLinked="1"/>
        <c:majorTickMark val="out"/>
        <c:minorTickMark val="none"/>
        <c:tickLblPos val="nextTo"/>
        <c:crossAx val="576270480"/>
        <c:crosses val="autoZero"/>
        <c:crossBetween val="midCat"/>
      </c:valAx>
      <c:valAx>
        <c:axId val="576270480"/>
        <c:scaling>
          <c:orientation val="minMax"/>
        </c:scaling>
        <c:delete val="0"/>
        <c:axPos val="l"/>
        <c:majorGridlines/>
        <c:numFmt formatCode="0.00" sourceLinked="1"/>
        <c:majorTickMark val="out"/>
        <c:minorTickMark val="none"/>
        <c:tickLblPos val="nextTo"/>
        <c:crossAx val="576270088"/>
        <c:crosses val="autoZero"/>
        <c:crossBetween val="midCat"/>
      </c:valAx>
    </c:plotArea>
    <c:legend>
      <c:legendPos val="r"/>
      <c:overlay val="0"/>
    </c:legend>
    <c:plotVisOnly val="1"/>
    <c:dispBlanksAs val="gap"/>
    <c:showDLblsOverMax val="0"/>
  </c:chart>
  <c:spPr>
    <a:ln>
      <a:noFill/>
    </a:ln>
  </c:spPr>
  <c:txPr>
    <a:bodyPr/>
    <a:lstStyle/>
    <a:p>
      <a:pPr>
        <a:defRPr>
          <a:latin typeface="Arial" pitchFamily="34" charset="0"/>
          <a:cs typeface="Arial" pitchFamily="34" charset="0"/>
        </a:defRPr>
      </a:pPr>
      <a:endParaRPr lang="en-US"/>
    </a:p>
  </c:txPr>
  <c:printSettings>
    <c:headerFooter/>
    <c:pageMargins b="0.75000000000000111" l="0.70000000000000062" r="0.70000000000000062" t="0.750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Graphs!$D$123</c:f>
              <c:strCache>
                <c:ptCount val="1"/>
                <c:pt idx="0">
                  <c:v>1/(1-σ)</c:v>
                </c:pt>
              </c:strCache>
            </c:strRef>
          </c:tx>
          <c:marker>
            <c:symbol val="none"/>
          </c:marker>
          <c:xVal>
            <c:numRef>
              <c:f>Graphs!$A$124:$A$176</c:f>
              <c:numCache>
                <c:formatCode>General</c:formatCode>
                <c:ptCount val="53"/>
                <c:pt idx="0">
                  <c:v>0.1</c:v>
                </c:pt>
                <c:pt idx="1">
                  <c:v>0.2</c:v>
                </c:pt>
                <c:pt idx="2">
                  <c:v>0.3</c:v>
                </c:pt>
                <c:pt idx="3">
                  <c:v>0.4</c:v>
                </c:pt>
                <c:pt idx="4">
                  <c:v>0.5</c:v>
                </c:pt>
                <c:pt idx="5">
                  <c:v>0.6</c:v>
                </c:pt>
                <c:pt idx="6">
                  <c:v>0.7</c:v>
                </c:pt>
                <c:pt idx="7">
                  <c:v>0.8</c:v>
                </c:pt>
                <c:pt idx="8">
                  <c:v>0.9</c:v>
                </c:pt>
                <c:pt idx="9">
                  <c:v>1</c:v>
                </c:pt>
                <c:pt idx="10">
                  <c:v>1.1000000000000001</c:v>
                </c:pt>
                <c:pt idx="11">
                  <c:v>1.2</c:v>
                </c:pt>
                <c:pt idx="12">
                  <c:v>1.3</c:v>
                </c:pt>
                <c:pt idx="13">
                  <c:v>1.4</c:v>
                </c:pt>
                <c:pt idx="14">
                  <c:v>1.5</c:v>
                </c:pt>
                <c:pt idx="15">
                  <c:v>1.6</c:v>
                </c:pt>
                <c:pt idx="16">
                  <c:v>1.7</c:v>
                </c:pt>
                <c:pt idx="17">
                  <c:v>1.8</c:v>
                </c:pt>
                <c:pt idx="18">
                  <c:v>1.9</c:v>
                </c:pt>
                <c:pt idx="19">
                  <c:v>2</c:v>
                </c:pt>
                <c:pt idx="20">
                  <c:v>2.1</c:v>
                </c:pt>
                <c:pt idx="21">
                  <c:v>2.2000000000000002</c:v>
                </c:pt>
                <c:pt idx="22">
                  <c:v>2.2999999999999998</c:v>
                </c:pt>
                <c:pt idx="23">
                  <c:v>2.4</c:v>
                </c:pt>
                <c:pt idx="24">
                  <c:v>2.5</c:v>
                </c:pt>
                <c:pt idx="25">
                  <c:v>2.6</c:v>
                </c:pt>
                <c:pt idx="26">
                  <c:v>2.7</c:v>
                </c:pt>
                <c:pt idx="27">
                  <c:v>2.8</c:v>
                </c:pt>
                <c:pt idx="28">
                  <c:v>2.9</c:v>
                </c:pt>
                <c:pt idx="29">
                  <c:v>3</c:v>
                </c:pt>
                <c:pt idx="30">
                  <c:v>3.1</c:v>
                </c:pt>
                <c:pt idx="31">
                  <c:v>3.2</c:v>
                </c:pt>
                <c:pt idx="32">
                  <c:v>3.3</c:v>
                </c:pt>
                <c:pt idx="33">
                  <c:v>3.4</c:v>
                </c:pt>
                <c:pt idx="34">
                  <c:v>3.5</c:v>
                </c:pt>
                <c:pt idx="35">
                  <c:v>3.6</c:v>
                </c:pt>
                <c:pt idx="36">
                  <c:v>3.7</c:v>
                </c:pt>
                <c:pt idx="37">
                  <c:v>3.8</c:v>
                </c:pt>
                <c:pt idx="38">
                  <c:v>3.9</c:v>
                </c:pt>
                <c:pt idx="39">
                  <c:v>4</c:v>
                </c:pt>
                <c:pt idx="40">
                  <c:v>4.0999999999999996</c:v>
                </c:pt>
                <c:pt idx="41">
                  <c:v>4.2</c:v>
                </c:pt>
                <c:pt idx="42">
                  <c:v>4.3</c:v>
                </c:pt>
                <c:pt idx="43">
                  <c:v>4.4000000000000004</c:v>
                </c:pt>
                <c:pt idx="44">
                  <c:v>4.5</c:v>
                </c:pt>
                <c:pt idx="45">
                  <c:v>4.5999999999999996</c:v>
                </c:pt>
                <c:pt idx="46">
                  <c:v>4.7</c:v>
                </c:pt>
                <c:pt idx="47">
                  <c:v>4.8</c:v>
                </c:pt>
                <c:pt idx="48">
                  <c:v>4.9000000000000004</c:v>
                </c:pt>
                <c:pt idx="49">
                  <c:v>5</c:v>
                </c:pt>
                <c:pt idx="50">
                  <c:v>5.0999999999999996</c:v>
                </c:pt>
                <c:pt idx="51">
                  <c:v>5.2</c:v>
                </c:pt>
                <c:pt idx="52">
                  <c:v>5.3</c:v>
                </c:pt>
              </c:numCache>
            </c:numRef>
          </c:xVal>
          <c:yVal>
            <c:numRef>
              <c:f>Graphs!$D$124:$D$176</c:f>
              <c:numCache>
                <c:formatCode>General</c:formatCode>
                <c:ptCount val="53"/>
                <c:pt idx="0">
                  <c:v>10.490430622009578</c:v>
                </c:pt>
                <c:pt idx="1">
                  <c:v>7.1855345911949673</c:v>
                </c:pt>
                <c:pt idx="2">
                  <c:v>5.5679156908665099</c:v>
                </c:pt>
                <c:pt idx="3">
                  <c:v>4.608208955223879</c:v>
                </c:pt>
                <c:pt idx="4">
                  <c:v>3.9728682170542635</c:v>
                </c:pt>
                <c:pt idx="5">
                  <c:v>3.5212201591511922</c:v>
                </c:pt>
                <c:pt idx="6">
                  <c:v>3.1836616454229429</c:v>
                </c:pt>
                <c:pt idx="7">
                  <c:v>2.9218106995884767</c:v>
                </c:pt>
                <c:pt idx="8">
                  <c:v>2.7127659574468082</c:v>
                </c:pt>
                <c:pt idx="9">
                  <c:v>2.5420168067226885</c:v>
                </c:pt>
                <c:pt idx="10">
                  <c:v>2.3999230177059276</c:v>
                </c:pt>
                <c:pt idx="11">
                  <c:v>2.2798295454545454</c:v>
                </c:pt>
                <c:pt idx="12">
                  <c:v>2.1769940672379695</c:v>
                </c:pt>
                <c:pt idx="13">
                  <c:v>2.0879458794587946</c:v>
                </c:pt>
                <c:pt idx="14">
                  <c:v>2.0100864553314115</c:v>
                </c:pt>
                <c:pt idx="15">
                  <c:v>1.9414316702819958</c:v>
                </c:pt>
                <c:pt idx="16">
                  <c:v>1.8804403481822836</c:v>
                </c:pt>
                <c:pt idx="17">
                  <c:v>1.8258971871968961</c:v>
                </c:pt>
                <c:pt idx="18">
                  <c:v>1.7768309534776601</c:v>
                </c:pt>
                <c:pt idx="19">
                  <c:v>1.7324561403508774</c:v>
                </c:pt>
                <c:pt idx="20">
                  <c:v>1.6921305985768103</c:v>
                </c:pt>
                <c:pt idx="21">
                  <c:v>1.6553242594075261</c:v>
                </c:pt>
                <c:pt idx="22">
                  <c:v>1.6215957038741851</c:v>
                </c:pt>
                <c:pt idx="23">
                  <c:v>1.5905743740795286</c:v>
                </c:pt>
                <c:pt idx="24">
                  <c:v>1.5619469026548674</c:v>
                </c:pt>
                <c:pt idx="25">
                  <c:v>1.5354464894342192</c:v>
                </c:pt>
                <c:pt idx="26">
                  <c:v>1.5108445612882024</c:v>
                </c:pt>
                <c:pt idx="27">
                  <c:v>1.4879441624365484</c:v>
                </c:pt>
                <c:pt idx="28">
                  <c:v>1.4665746703465197</c:v>
                </c:pt>
                <c:pt idx="29">
                  <c:v>1.4465875370919883</c:v>
                </c:pt>
                <c:pt idx="30">
                  <c:v>1.4278528312733545</c:v>
                </c:pt>
                <c:pt idx="31">
                  <c:v>1.4102564102564101</c:v>
                </c:pt>
                <c:pt idx="32">
                  <c:v>1.3936975926426831</c:v>
                </c:pt>
                <c:pt idx="33">
                  <c:v>1.3780872306883867</c:v>
                </c:pt>
                <c:pt idx="34">
                  <c:v>1.363346104725415</c:v>
                </c:pt>
                <c:pt idx="35">
                  <c:v>1.3494035785288272</c:v>
                </c:pt>
                <c:pt idx="36">
                  <c:v>1.3361964674570528</c:v>
                </c:pt>
                <c:pt idx="37">
                  <c:v>1.3236680810938237</c:v>
                </c:pt>
                <c:pt idx="38">
                  <c:v>1.3117674097908527</c:v>
                </c:pt>
                <c:pt idx="39">
                  <c:v>1.3004484304932733</c:v>
                </c:pt>
                <c:pt idx="40">
                  <c:v>1.289669511928212</c:v>
                </c:pt>
                <c:pt idx="41">
                  <c:v>1.2793929029499786</c:v>
                </c:pt>
                <c:pt idx="42">
                  <c:v>1.2695842907875496</c:v>
                </c:pt>
                <c:pt idx="43">
                  <c:v>1.2602124183006536</c:v>
                </c:pt>
                <c:pt idx="44">
                  <c:v>1.2512487512487511</c:v>
                </c:pt>
                <c:pt idx="45">
                  <c:v>1.2426671881110678</c:v>
                </c:pt>
                <c:pt idx="46">
                  <c:v>1.2344438062416236</c:v>
                </c:pt>
                <c:pt idx="47">
                  <c:v>1.22655663915979</c:v>
                </c:pt>
                <c:pt idx="48">
                  <c:v>1.2189854806101819</c:v>
                </c:pt>
                <c:pt idx="49">
                  <c:v>1.2117117117117118</c:v>
                </c:pt>
                <c:pt idx="50">
                  <c:v>1.2047181480827001</c:v>
                </c:pt>
                <c:pt idx="51">
                  <c:v>1.1979889042995839</c:v>
                </c:pt>
                <c:pt idx="52">
                  <c:v>1.1915092734388293</c:v>
                </c:pt>
              </c:numCache>
            </c:numRef>
          </c:yVal>
          <c:smooth val="1"/>
          <c:extLst>
            <c:ext xmlns:c16="http://schemas.microsoft.com/office/drawing/2014/chart" uri="{C3380CC4-5D6E-409C-BE32-E72D297353CC}">
              <c16:uniqueId val="{00000000-E1DE-41F6-BDF6-3E50C4BCBA71}"/>
            </c:ext>
          </c:extLst>
        </c:ser>
        <c:dLbls>
          <c:showLegendKey val="0"/>
          <c:showVal val="0"/>
          <c:showCatName val="0"/>
          <c:showSerName val="0"/>
          <c:showPercent val="0"/>
          <c:showBubbleSize val="0"/>
        </c:dLbls>
        <c:axId val="576270872"/>
        <c:axId val="576272048"/>
      </c:scatterChart>
      <c:valAx>
        <c:axId val="576270872"/>
        <c:scaling>
          <c:orientation val="minMax"/>
        </c:scaling>
        <c:delete val="0"/>
        <c:axPos val="b"/>
        <c:majorGridlines/>
        <c:title>
          <c:tx>
            <c:rich>
              <a:bodyPr/>
              <a:lstStyle/>
              <a:p>
                <a:pPr>
                  <a:defRPr/>
                </a:pPr>
                <a:r>
                  <a:rPr lang="en-US"/>
                  <a:t>height (ft)</a:t>
                </a:r>
              </a:p>
            </c:rich>
          </c:tx>
          <c:overlay val="0"/>
        </c:title>
        <c:numFmt formatCode="General" sourceLinked="1"/>
        <c:majorTickMark val="out"/>
        <c:minorTickMark val="none"/>
        <c:tickLblPos val="nextTo"/>
        <c:crossAx val="576272048"/>
        <c:crosses val="autoZero"/>
        <c:crossBetween val="midCat"/>
      </c:valAx>
      <c:valAx>
        <c:axId val="576272048"/>
        <c:scaling>
          <c:orientation val="minMax"/>
        </c:scaling>
        <c:delete val="0"/>
        <c:axPos val="l"/>
        <c:majorGridlines/>
        <c:numFmt formatCode="General" sourceLinked="1"/>
        <c:majorTickMark val="out"/>
        <c:minorTickMark val="none"/>
        <c:tickLblPos val="nextTo"/>
        <c:crossAx val="576270872"/>
        <c:crosses val="autoZero"/>
        <c:crossBetween val="midCat"/>
      </c:valAx>
    </c:plotArea>
    <c:legend>
      <c:legendPos val="r"/>
      <c:overlay val="0"/>
    </c:legend>
    <c:plotVisOnly val="1"/>
    <c:dispBlanksAs val="gap"/>
    <c:showDLblsOverMax val="0"/>
  </c:chart>
  <c:spPr>
    <a:ln>
      <a:noFill/>
    </a:ln>
  </c:spPr>
  <c:txPr>
    <a:bodyPr/>
    <a:lstStyle/>
    <a:p>
      <a:pPr>
        <a:defRPr>
          <a:latin typeface="Arial" pitchFamily="34" charset="0"/>
          <a:cs typeface="Arial" pitchFamily="34" charset="0"/>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marker>
            <c:symbol val="none"/>
          </c:marker>
          <c:xVal>
            <c:numRef>
              <c:f>'Performance Summary'!$B$299:$B$329</c:f>
              <c:numCache>
                <c:formatCode>0</c:formatCode>
                <c:ptCount val="31"/>
                <c:pt idx="0">
                  <c:v>3.4090909099999998</c:v>
                </c:pt>
                <c:pt idx="1">
                  <c:v>6.8181818199999995</c:v>
                </c:pt>
                <c:pt idx="2">
                  <c:v>10.227272729999999</c:v>
                </c:pt>
                <c:pt idx="3">
                  <c:v>13.636363639999999</c:v>
                </c:pt>
                <c:pt idx="4">
                  <c:v>17.045454549999999</c:v>
                </c:pt>
                <c:pt idx="5">
                  <c:v>20.454545459999999</c:v>
                </c:pt>
                <c:pt idx="6">
                  <c:v>23.863636369999998</c:v>
                </c:pt>
                <c:pt idx="7">
                  <c:v>27.272727279999998</c:v>
                </c:pt>
                <c:pt idx="8">
                  <c:v>30.681818190000001</c:v>
                </c:pt>
                <c:pt idx="9">
                  <c:v>34.090909099999998</c:v>
                </c:pt>
                <c:pt idx="10">
                  <c:v>37.500000010000001</c:v>
                </c:pt>
                <c:pt idx="11">
                  <c:v>40.909090919999997</c:v>
                </c:pt>
                <c:pt idx="12">
                  <c:v>44.31818183</c:v>
                </c:pt>
                <c:pt idx="13">
                  <c:v>47.727272739999997</c:v>
                </c:pt>
                <c:pt idx="14">
                  <c:v>51.13636365</c:v>
                </c:pt>
                <c:pt idx="15">
                  <c:v>54.545454559999996</c:v>
                </c:pt>
                <c:pt idx="16">
                  <c:v>57.954545469999999</c:v>
                </c:pt>
                <c:pt idx="17">
                  <c:v>61.363636380000003</c:v>
                </c:pt>
                <c:pt idx="18">
                  <c:v>64.772727290000006</c:v>
                </c:pt>
                <c:pt idx="19">
                  <c:v>68.181818199999995</c:v>
                </c:pt>
                <c:pt idx="20">
                  <c:v>71.590909109999998</c:v>
                </c:pt>
                <c:pt idx="21">
                  <c:v>75.000000020000002</c:v>
                </c:pt>
                <c:pt idx="22">
                  <c:v>78.409090930000005</c:v>
                </c:pt>
                <c:pt idx="23">
                  <c:v>81.818181839999994</c:v>
                </c:pt>
                <c:pt idx="24">
                  <c:v>85.227272749999997</c:v>
                </c:pt>
                <c:pt idx="25">
                  <c:v>88.636363660000001</c:v>
                </c:pt>
                <c:pt idx="26">
                  <c:v>92.045454570000004</c:v>
                </c:pt>
                <c:pt idx="27">
                  <c:v>95.454545479999993</c:v>
                </c:pt>
                <c:pt idx="28">
                  <c:v>98.863636389999996</c:v>
                </c:pt>
                <c:pt idx="29">
                  <c:v>102.2727273</c:v>
                </c:pt>
                <c:pt idx="30">
                  <c:v>105.68181821</c:v>
                </c:pt>
              </c:numCache>
            </c:numRef>
          </c:xVal>
          <c:yVal>
            <c:numRef>
              <c:f>'Performance Summary'!$C$299:$C$329</c:f>
              <c:numCache>
                <c:formatCode>0.00</c:formatCode>
                <c:ptCount val="31"/>
                <c:pt idx="0">
                  <c:v>378.49593741271605</c:v>
                </c:pt>
                <c:pt idx="1">
                  <c:v>94.623984353179011</c:v>
                </c:pt>
                <c:pt idx="2">
                  <c:v>42.055104156968447</c:v>
                </c:pt>
                <c:pt idx="3">
                  <c:v>23.655996088294753</c:v>
                </c:pt>
                <c:pt idx="4">
                  <c:v>15.139837496508644</c:v>
                </c:pt>
                <c:pt idx="5">
                  <c:v>10.513776039242112</c:v>
                </c:pt>
                <c:pt idx="6">
                  <c:v>7.7244068859737975</c:v>
                </c:pt>
                <c:pt idx="7">
                  <c:v>5.9139990220736882</c:v>
                </c:pt>
                <c:pt idx="8">
                  <c:v>4.6727893507742726</c:v>
                </c:pt>
                <c:pt idx="9">
                  <c:v>3.784959374127161</c:v>
                </c:pt>
                <c:pt idx="10">
                  <c:v>3.1280655984521988</c:v>
                </c:pt>
                <c:pt idx="11">
                  <c:v>2.6284440098105279</c:v>
                </c:pt>
                <c:pt idx="12">
                  <c:v>2.2396209314361895</c:v>
                </c:pt>
                <c:pt idx="13">
                  <c:v>1.9311017214934494</c:v>
                </c:pt>
                <c:pt idx="14">
                  <c:v>1.6822041662787381</c:v>
                </c:pt>
                <c:pt idx="15">
                  <c:v>1.4784997555184221</c:v>
                </c:pt>
                <c:pt idx="16">
                  <c:v>1.3096745239194327</c:v>
                </c:pt>
                <c:pt idx="17">
                  <c:v>1.1681973376935681</c:v>
                </c:pt>
                <c:pt idx="18">
                  <c:v>1.0484652005892412</c:v>
                </c:pt>
                <c:pt idx="19">
                  <c:v>0.94623984353179025</c:v>
                </c:pt>
                <c:pt idx="20">
                  <c:v>0.85826743177486642</c:v>
                </c:pt>
                <c:pt idx="21">
                  <c:v>0.7820163996130497</c:v>
                </c:pt>
                <c:pt idx="22">
                  <c:v>0.7154932654304651</c:v>
                </c:pt>
                <c:pt idx="23">
                  <c:v>0.65711100245263199</c:v>
                </c:pt>
                <c:pt idx="24">
                  <c:v>0.60559349986034572</c:v>
                </c:pt>
                <c:pt idx="25">
                  <c:v>0.55990523285904736</c:v>
                </c:pt>
                <c:pt idx="26">
                  <c:v>0.51919881675269686</c:v>
                </c:pt>
                <c:pt idx="27">
                  <c:v>0.48277543037336235</c:v>
                </c:pt>
                <c:pt idx="28">
                  <c:v>0.45005462236946026</c:v>
                </c:pt>
                <c:pt idx="29">
                  <c:v>0.42055104156968454</c:v>
                </c:pt>
                <c:pt idx="30">
                  <c:v>0.39385633445652035</c:v>
                </c:pt>
              </c:numCache>
            </c:numRef>
          </c:yVal>
          <c:smooth val="0"/>
          <c:extLst>
            <c:ext xmlns:c16="http://schemas.microsoft.com/office/drawing/2014/chart" uri="{C3380CC4-5D6E-409C-BE32-E72D297353CC}">
              <c16:uniqueId val="{00000000-0440-4C4C-AABD-261BF2AD5A72}"/>
            </c:ext>
          </c:extLst>
        </c:ser>
        <c:ser>
          <c:idx val="1"/>
          <c:order val="1"/>
          <c:tx>
            <c:v>α = 1</c:v>
          </c:tx>
          <c:spPr>
            <a:ln w="19050"/>
          </c:spPr>
          <c:marker>
            <c:symbol val="none"/>
          </c:marker>
          <c:xVal>
            <c:numRef>
              <c:f>'Performance Summary'!$B$299:$B$329</c:f>
              <c:numCache>
                <c:formatCode>0</c:formatCode>
                <c:ptCount val="31"/>
                <c:pt idx="0">
                  <c:v>3.4090909099999998</c:v>
                </c:pt>
                <c:pt idx="1">
                  <c:v>6.8181818199999995</c:v>
                </c:pt>
                <c:pt idx="2">
                  <c:v>10.227272729999999</c:v>
                </c:pt>
                <c:pt idx="3">
                  <c:v>13.636363639999999</c:v>
                </c:pt>
                <c:pt idx="4">
                  <c:v>17.045454549999999</c:v>
                </c:pt>
                <c:pt idx="5">
                  <c:v>20.454545459999999</c:v>
                </c:pt>
                <c:pt idx="6">
                  <c:v>23.863636369999998</c:v>
                </c:pt>
                <c:pt idx="7">
                  <c:v>27.272727279999998</c:v>
                </c:pt>
                <c:pt idx="8">
                  <c:v>30.681818190000001</c:v>
                </c:pt>
                <c:pt idx="9">
                  <c:v>34.090909099999998</c:v>
                </c:pt>
                <c:pt idx="10">
                  <c:v>37.500000010000001</c:v>
                </c:pt>
                <c:pt idx="11">
                  <c:v>40.909090919999997</c:v>
                </c:pt>
                <c:pt idx="12">
                  <c:v>44.31818183</c:v>
                </c:pt>
                <c:pt idx="13">
                  <c:v>47.727272739999997</c:v>
                </c:pt>
                <c:pt idx="14">
                  <c:v>51.13636365</c:v>
                </c:pt>
                <c:pt idx="15">
                  <c:v>54.545454559999996</c:v>
                </c:pt>
                <c:pt idx="16">
                  <c:v>57.954545469999999</c:v>
                </c:pt>
                <c:pt idx="17">
                  <c:v>61.363636380000003</c:v>
                </c:pt>
                <c:pt idx="18">
                  <c:v>64.772727290000006</c:v>
                </c:pt>
                <c:pt idx="19">
                  <c:v>68.181818199999995</c:v>
                </c:pt>
                <c:pt idx="20">
                  <c:v>71.590909109999998</c:v>
                </c:pt>
                <c:pt idx="21">
                  <c:v>75.000000020000002</c:v>
                </c:pt>
                <c:pt idx="22">
                  <c:v>78.409090930000005</c:v>
                </c:pt>
                <c:pt idx="23">
                  <c:v>81.818181839999994</c:v>
                </c:pt>
                <c:pt idx="24">
                  <c:v>85.227272749999997</c:v>
                </c:pt>
                <c:pt idx="25">
                  <c:v>88.636363660000001</c:v>
                </c:pt>
                <c:pt idx="26">
                  <c:v>92.045454570000004</c:v>
                </c:pt>
                <c:pt idx="27">
                  <c:v>95.454545479999993</c:v>
                </c:pt>
                <c:pt idx="28">
                  <c:v>98.863636389999996</c:v>
                </c:pt>
                <c:pt idx="29">
                  <c:v>102.2727273</c:v>
                </c:pt>
                <c:pt idx="30">
                  <c:v>105.68181821</c:v>
                </c:pt>
              </c:numCache>
            </c:numRef>
          </c:xVal>
          <c:yVal>
            <c:numRef>
              <c:f>'Performance Summary'!$E$299:$E$329</c:f>
              <c:numCache>
                <c:formatCode>0.00</c:formatCode>
                <c:ptCount val="31"/>
                <c:pt idx="0">
                  <c:v>0</c:v>
                </c:pt>
                <c:pt idx="1">
                  <c:v>0</c:v>
                </c:pt>
                <c:pt idx="2">
                  <c:v>0</c:v>
                </c:pt>
                <c:pt idx="3">
                  <c:v>0</c:v>
                </c:pt>
                <c:pt idx="4">
                  <c:v>0</c:v>
                </c:pt>
                <c:pt idx="5">
                  <c:v>0</c:v>
                </c:pt>
                <c:pt idx="6">
                  <c:v>0</c:v>
                </c:pt>
                <c:pt idx="7">
                  <c:v>0</c:v>
                </c:pt>
                <c:pt idx="8">
                  <c:v>0</c:v>
                </c:pt>
                <c:pt idx="9">
                  <c:v>0</c:v>
                </c:pt>
                <c:pt idx="10">
                  <c:v>0</c:v>
                </c:pt>
                <c:pt idx="11">
                  <c:v>0</c:v>
                </c:pt>
                <c:pt idx="12">
                  <c:v>0.53982842416905363</c:v>
                </c:pt>
                <c:pt idx="13">
                  <c:v>0.65799913934035592</c:v>
                </c:pt>
                <c:pt idx="14">
                  <c:v>0.75333324222999432</c:v>
                </c:pt>
                <c:pt idx="15">
                  <c:v>0.83808603807852011</c:v>
                </c:pt>
                <c:pt idx="16">
                  <c:v>1.2233431075630805</c:v>
                </c:pt>
                <c:pt idx="17">
                  <c:v>1.5461922791475979</c:v>
                </c:pt>
                <c:pt idx="18">
                  <c:v>2.3765883737877509</c:v>
                </c:pt>
                <c:pt idx="19">
                  <c:v>4.0887335844368842</c:v>
                </c:pt>
                <c:pt idx="20">
                  <c:v>9.7251795583036333</c:v>
                </c:pt>
                <c:pt idx="21">
                  <c:v>0</c:v>
                </c:pt>
                <c:pt idx="22">
                  <c:v>0</c:v>
                </c:pt>
                <c:pt idx="23">
                  <c:v>0</c:v>
                </c:pt>
                <c:pt idx="24">
                  <c:v>0</c:v>
                </c:pt>
                <c:pt idx="25">
                  <c:v>0</c:v>
                </c:pt>
                <c:pt idx="26">
                  <c:v>0</c:v>
                </c:pt>
                <c:pt idx="27">
                  <c:v>0</c:v>
                </c:pt>
                <c:pt idx="28">
                  <c:v>0</c:v>
                </c:pt>
                <c:pt idx="29">
                  <c:v>0</c:v>
                </c:pt>
                <c:pt idx="30">
                  <c:v>0</c:v>
                </c:pt>
              </c:numCache>
            </c:numRef>
          </c:yVal>
          <c:smooth val="0"/>
          <c:extLst>
            <c:ext xmlns:c16="http://schemas.microsoft.com/office/drawing/2014/chart" uri="{C3380CC4-5D6E-409C-BE32-E72D297353CC}">
              <c16:uniqueId val="{00000001-0440-4C4C-AABD-261BF2AD5A72}"/>
            </c:ext>
          </c:extLst>
        </c:ser>
        <c:ser>
          <c:idx val="2"/>
          <c:order val="2"/>
          <c:tx>
            <c:v>α = 2</c:v>
          </c:tx>
          <c:spPr>
            <a:ln w="19050"/>
          </c:spPr>
          <c:marker>
            <c:symbol val="none"/>
          </c:marker>
          <c:xVal>
            <c:numRef>
              <c:f>'Performance Summary'!$B$299:$B$329</c:f>
              <c:numCache>
                <c:formatCode>0</c:formatCode>
                <c:ptCount val="31"/>
                <c:pt idx="0">
                  <c:v>3.4090909099999998</c:v>
                </c:pt>
                <c:pt idx="1">
                  <c:v>6.8181818199999995</c:v>
                </c:pt>
                <c:pt idx="2">
                  <c:v>10.227272729999999</c:v>
                </c:pt>
                <c:pt idx="3">
                  <c:v>13.636363639999999</c:v>
                </c:pt>
                <c:pt idx="4">
                  <c:v>17.045454549999999</c:v>
                </c:pt>
                <c:pt idx="5">
                  <c:v>20.454545459999999</c:v>
                </c:pt>
                <c:pt idx="6">
                  <c:v>23.863636369999998</c:v>
                </c:pt>
                <c:pt idx="7">
                  <c:v>27.272727279999998</c:v>
                </c:pt>
                <c:pt idx="8">
                  <c:v>30.681818190000001</c:v>
                </c:pt>
                <c:pt idx="9">
                  <c:v>34.090909099999998</c:v>
                </c:pt>
                <c:pt idx="10">
                  <c:v>37.500000010000001</c:v>
                </c:pt>
                <c:pt idx="11">
                  <c:v>40.909090919999997</c:v>
                </c:pt>
                <c:pt idx="12">
                  <c:v>44.31818183</c:v>
                </c:pt>
                <c:pt idx="13">
                  <c:v>47.727272739999997</c:v>
                </c:pt>
                <c:pt idx="14">
                  <c:v>51.13636365</c:v>
                </c:pt>
                <c:pt idx="15">
                  <c:v>54.545454559999996</c:v>
                </c:pt>
                <c:pt idx="16">
                  <c:v>57.954545469999999</c:v>
                </c:pt>
                <c:pt idx="17">
                  <c:v>61.363636380000003</c:v>
                </c:pt>
                <c:pt idx="18">
                  <c:v>64.772727290000006</c:v>
                </c:pt>
                <c:pt idx="19">
                  <c:v>68.181818199999995</c:v>
                </c:pt>
                <c:pt idx="20">
                  <c:v>71.590909109999998</c:v>
                </c:pt>
                <c:pt idx="21">
                  <c:v>75.000000020000002</c:v>
                </c:pt>
                <c:pt idx="22">
                  <c:v>78.409090930000005</c:v>
                </c:pt>
                <c:pt idx="23">
                  <c:v>81.818181839999994</c:v>
                </c:pt>
                <c:pt idx="24">
                  <c:v>85.227272749999997</c:v>
                </c:pt>
                <c:pt idx="25">
                  <c:v>88.636363660000001</c:v>
                </c:pt>
                <c:pt idx="26">
                  <c:v>92.045454570000004</c:v>
                </c:pt>
                <c:pt idx="27">
                  <c:v>95.454545479999993</c:v>
                </c:pt>
                <c:pt idx="28">
                  <c:v>98.863636389999996</c:v>
                </c:pt>
                <c:pt idx="29">
                  <c:v>102.2727273</c:v>
                </c:pt>
                <c:pt idx="30">
                  <c:v>105.68181821</c:v>
                </c:pt>
              </c:numCache>
            </c:numRef>
          </c:xVal>
          <c:yVal>
            <c:numRef>
              <c:f>'Performance Summary'!$F$299:$F$329</c:f>
              <c:numCache>
                <c:formatCode>0.00</c:formatCode>
                <c:ptCount val="31"/>
                <c:pt idx="0">
                  <c:v>0</c:v>
                </c:pt>
                <c:pt idx="1">
                  <c:v>0</c:v>
                </c:pt>
                <c:pt idx="2">
                  <c:v>0</c:v>
                </c:pt>
                <c:pt idx="3">
                  <c:v>0</c:v>
                </c:pt>
                <c:pt idx="4">
                  <c:v>0</c:v>
                </c:pt>
                <c:pt idx="5">
                  <c:v>0</c:v>
                </c:pt>
                <c:pt idx="6">
                  <c:v>0</c:v>
                </c:pt>
                <c:pt idx="7">
                  <c:v>0</c:v>
                </c:pt>
                <c:pt idx="8">
                  <c:v>0</c:v>
                </c:pt>
                <c:pt idx="9">
                  <c:v>0</c:v>
                </c:pt>
                <c:pt idx="10">
                  <c:v>0</c:v>
                </c:pt>
                <c:pt idx="11">
                  <c:v>0.5290127607823647</c:v>
                </c:pt>
                <c:pt idx="12">
                  <c:v>0.64841754745059133</c:v>
                </c:pt>
                <c:pt idx="13">
                  <c:v>0.74316159042325736</c:v>
                </c:pt>
                <c:pt idx="14">
                  <c:v>0.81959624961816069</c:v>
                </c:pt>
                <c:pt idx="15">
                  <c:v>1.1488633276804308</c:v>
                </c:pt>
                <c:pt idx="16">
                  <c:v>1.4658472152991864</c:v>
                </c:pt>
                <c:pt idx="17">
                  <c:v>1.9775787010027099</c:v>
                </c:pt>
                <c:pt idx="18">
                  <c:v>3.1022178930337603</c:v>
                </c:pt>
                <c:pt idx="19">
                  <c:v>7.5215203641986594</c:v>
                </c:pt>
                <c:pt idx="20">
                  <c:v>0</c:v>
                </c:pt>
                <c:pt idx="21">
                  <c:v>0</c:v>
                </c:pt>
                <c:pt idx="22">
                  <c:v>0</c:v>
                </c:pt>
                <c:pt idx="23">
                  <c:v>0</c:v>
                </c:pt>
                <c:pt idx="24">
                  <c:v>0</c:v>
                </c:pt>
                <c:pt idx="25">
                  <c:v>0</c:v>
                </c:pt>
                <c:pt idx="26">
                  <c:v>0</c:v>
                </c:pt>
                <c:pt idx="27">
                  <c:v>0</c:v>
                </c:pt>
                <c:pt idx="28">
                  <c:v>0</c:v>
                </c:pt>
                <c:pt idx="29">
                  <c:v>0</c:v>
                </c:pt>
                <c:pt idx="30">
                  <c:v>0</c:v>
                </c:pt>
              </c:numCache>
            </c:numRef>
          </c:yVal>
          <c:smooth val="0"/>
          <c:extLst>
            <c:ext xmlns:c16="http://schemas.microsoft.com/office/drawing/2014/chart" uri="{C3380CC4-5D6E-409C-BE32-E72D297353CC}">
              <c16:uniqueId val="{00000002-0440-4C4C-AABD-261BF2AD5A72}"/>
            </c:ext>
          </c:extLst>
        </c:ser>
        <c:ser>
          <c:idx val="3"/>
          <c:order val="3"/>
          <c:tx>
            <c:v>α = 3</c:v>
          </c:tx>
          <c:spPr>
            <a:ln w="19050"/>
          </c:spPr>
          <c:marker>
            <c:symbol val="none"/>
          </c:marker>
          <c:xVal>
            <c:numRef>
              <c:f>'Performance Summary'!$B$299:$B$329</c:f>
              <c:numCache>
                <c:formatCode>0</c:formatCode>
                <c:ptCount val="31"/>
                <c:pt idx="0">
                  <c:v>3.4090909099999998</c:v>
                </c:pt>
                <c:pt idx="1">
                  <c:v>6.8181818199999995</c:v>
                </c:pt>
                <c:pt idx="2">
                  <c:v>10.227272729999999</c:v>
                </c:pt>
                <c:pt idx="3">
                  <c:v>13.636363639999999</c:v>
                </c:pt>
                <c:pt idx="4">
                  <c:v>17.045454549999999</c:v>
                </c:pt>
                <c:pt idx="5">
                  <c:v>20.454545459999999</c:v>
                </c:pt>
                <c:pt idx="6">
                  <c:v>23.863636369999998</c:v>
                </c:pt>
                <c:pt idx="7">
                  <c:v>27.272727279999998</c:v>
                </c:pt>
                <c:pt idx="8">
                  <c:v>30.681818190000001</c:v>
                </c:pt>
                <c:pt idx="9">
                  <c:v>34.090909099999998</c:v>
                </c:pt>
                <c:pt idx="10">
                  <c:v>37.500000010000001</c:v>
                </c:pt>
                <c:pt idx="11">
                  <c:v>40.909090919999997</c:v>
                </c:pt>
                <c:pt idx="12">
                  <c:v>44.31818183</c:v>
                </c:pt>
                <c:pt idx="13">
                  <c:v>47.727272739999997</c:v>
                </c:pt>
                <c:pt idx="14">
                  <c:v>51.13636365</c:v>
                </c:pt>
                <c:pt idx="15">
                  <c:v>54.545454559999996</c:v>
                </c:pt>
                <c:pt idx="16">
                  <c:v>57.954545469999999</c:v>
                </c:pt>
                <c:pt idx="17">
                  <c:v>61.363636380000003</c:v>
                </c:pt>
                <c:pt idx="18">
                  <c:v>64.772727290000006</c:v>
                </c:pt>
                <c:pt idx="19">
                  <c:v>68.181818199999995</c:v>
                </c:pt>
                <c:pt idx="20">
                  <c:v>71.590909109999998</c:v>
                </c:pt>
                <c:pt idx="21">
                  <c:v>75.000000020000002</c:v>
                </c:pt>
                <c:pt idx="22">
                  <c:v>78.409090930000005</c:v>
                </c:pt>
                <c:pt idx="23">
                  <c:v>81.818181839999994</c:v>
                </c:pt>
                <c:pt idx="24">
                  <c:v>85.227272749999997</c:v>
                </c:pt>
                <c:pt idx="25">
                  <c:v>88.636363660000001</c:v>
                </c:pt>
                <c:pt idx="26">
                  <c:v>92.045454570000004</c:v>
                </c:pt>
                <c:pt idx="27">
                  <c:v>95.454545479999993</c:v>
                </c:pt>
                <c:pt idx="28">
                  <c:v>98.863636389999996</c:v>
                </c:pt>
                <c:pt idx="29">
                  <c:v>102.2727273</c:v>
                </c:pt>
                <c:pt idx="30">
                  <c:v>105.68181821</c:v>
                </c:pt>
              </c:numCache>
            </c:numRef>
          </c:xVal>
          <c:yVal>
            <c:numRef>
              <c:f>'Performance Summary'!$G$299:$G$329</c:f>
              <c:numCache>
                <c:formatCode>0.00</c:formatCode>
                <c:ptCount val="31"/>
                <c:pt idx="0">
                  <c:v>0</c:v>
                </c:pt>
                <c:pt idx="1">
                  <c:v>0</c:v>
                </c:pt>
                <c:pt idx="2">
                  <c:v>0</c:v>
                </c:pt>
                <c:pt idx="3">
                  <c:v>0</c:v>
                </c:pt>
                <c:pt idx="4">
                  <c:v>0</c:v>
                </c:pt>
                <c:pt idx="5">
                  <c:v>0</c:v>
                </c:pt>
                <c:pt idx="6">
                  <c:v>0</c:v>
                </c:pt>
                <c:pt idx="7">
                  <c:v>0</c:v>
                </c:pt>
                <c:pt idx="8">
                  <c:v>0</c:v>
                </c:pt>
                <c:pt idx="9">
                  <c:v>0</c:v>
                </c:pt>
                <c:pt idx="10">
                  <c:v>0.50003396425231084</c:v>
                </c:pt>
                <c:pt idx="11">
                  <c:v>0.6260475664536167</c:v>
                </c:pt>
                <c:pt idx="12">
                  <c:v>0.72411578015543043</c:v>
                </c:pt>
                <c:pt idx="13">
                  <c:v>0.80192990563964506</c:v>
                </c:pt>
                <c:pt idx="14">
                  <c:v>1.0473252660914121</c:v>
                </c:pt>
                <c:pt idx="15">
                  <c:v>1.3690449803696119</c:v>
                </c:pt>
                <c:pt idx="16">
                  <c:v>1.6356784080418556</c:v>
                </c:pt>
                <c:pt idx="17">
                  <c:v>2.6657405767458431</c:v>
                </c:pt>
                <c:pt idx="18">
                  <c:v>4.9320654561554003</c:v>
                </c:pt>
                <c:pt idx="19">
                  <c:v>0</c:v>
                </c:pt>
                <c:pt idx="20">
                  <c:v>0</c:v>
                </c:pt>
                <c:pt idx="21">
                  <c:v>0</c:v>
                </c:pt>
                <c:pt idx="22">
                  <c:v>0</c:v>
                </c:pt>
                <c:pt idx="23">
                  <c:v>0</c:v>
                </c:pt>
                <c:pt idx="24">
                  <c:v>0</c:v>
                </c:pt>
                <c:pt idx="25">
                  <c:v>0</c:v>
                </c:pt>
                <c:pt idx="26">
                  <c:v>0</c:v>
                </c:pt>
                <c:pt idx="27">
                  <c:v>0</c:v>
                </c:pt>
                <c:pt idx="28">
                  <c:v>0</c:v>
                </c:pt>
                <c:pt idx="29">
                  <c:v>0</c:v>
                </c:pt>
                <c:pt idx="30">
                  <c:v>0</c:v>
                </c:pt>
              </c:numCache>
            </c:numRef>
          </c:yVal>
          <c:smooth val="0"/>
          <c:extLst>
            <c:ext xmlns:c16="http://schemas.microsoft.com/office/drawing/2014/chart" uri="{C3380CC4-5D6E-409C-BE32-E72D297353CC}">
              <c16:uniqueId val="{00000003-0440-4C4C-AABD-261BF2AD5A72}"/>
            </c:ext>
          </c:extLst>
        </c:ser>
        <c:ser>
          <c:idx val="4"/>
          <c:order val="4"/>
          <c:tx>
            <c:v>α = 4</c:v>
          </c:tx>
          <c:spPr>
            <a:ln w="19050"/>
          </c:spPr>
          <c:marker>
            <c:symbol val="none"/>
          </c:marker>
          <c:xVal>
            <c:numRef>
              <c:f>'Performance Summary'!$B$299:$B$329</c:f>
              <c:numCache>
                <c:formatCode>0</c:formatCode>
                <c:ptCount val="31"/>
                <c:pt idx="0">
                  <c:v>3.4090909099999998</c:v>
                </c:pt>
                <c:pt idx="1">
                  <c:v>6.8181818199999995</c:v>
                </c:pt>
                <c:pt idx="2">
                  <c:v>10.227272729999999</c:v>
                </c:pt>
                <c:pt idx="3">
                  <c:v>13.636363639999999</c:v>
                </c:pt>
                <c:pt idx="4">
                  <c:v>17.045454549999999</c:v>
                </c:pt>
                <c:pt idx="5">
                  <c:v>20.454545459999999</c:v>
                </c:pt>
                <c:pt idx="6">
                  <c:v>23.863636369999998</c:v>
                </c:pt>
                <c:pt idx="7">
                  <c:v>27.272727279999998</c:v>
                </c:pt>
                <c:pt idx="8">
                  <c:v>30.681818190000001</c:v>
                </c:pt>
                <c:pt idx="9">
                  <c:v>34.090909099999998</c:v>
                </c:pt>
                <c:pt idx="10">
                  <c:v>37.500000010000001</c:v>
                </c:pt>
                <c:pt idx="11">
                  <c:v>40.909090919999997</c:v>
                </c:pt>
                <c:pt idx="12">
                  <c:v>44.31818183</c:v>
                </c:pt>
                <c:pt idx="13">
                  <c:v>47.727272739999997</c:v>
                </c:pt>
                <c:pt idx="14">
                  <c:v>51.13636365</c:v>
                </c:pt>
                <c:pt idx="15">
                  <c:v>54.545454559999996</c:v>
                </c:pt>
                <c:pt idx="16">
                  <c:v>57.954545469999999</c:v>
                </c:pt>
                <c:pt idx="17">
                  <c:v>61.363636380000003</c:v>
                </c:pt>
                <c:pt idx="18">
                  <c:v>64.772727290000006</c:v>
                </c:pt>
                <c:pt idx="19">
                  <c:v>68.181818199999995</c:v>
                </c:pt>
                <c:pt idx="20">
                  <c:v>71.590909109999998</c:v>
                </c:pt>
                <c:pt idx="21">
                  <c:v>75.000000020000002</c:v>
                </c:pt>
                <c:pt idx="22">
                  <c:v>78.409090930000005</c:v>
                </c:pt>
                <c:pt idx="23">
                  <c:v>81.818181839999994</c:v>
                </c:pt>
                <c:pt idx="24">
                  <c:v>85.227272749999997</c:v>
                </c:pt>
                <c:pt idx="25">
                  <c:v>88.636363660000001</c:v>
                </c:pt>
                <c:pt idx="26">
                  <c:v>92.045454570000004</c:v>
                </c:pt>
                <c:pt idx="27">
                  <c:v>95.454545479999993</c:v>
                </c:pt>
                <c:pt idx="28">
                  <c:v>98.863636389999996</c:v>
                </c:pt>
                <c:pt idx="29">
                  <c:v>102.2727273</c:v>
                </c:pt>
                <c:pt idx="30">
                  <c:v>105.68181821</c:v>
                </c:pt>
              </c:numCache>
            </c:numRef>
          </c:xVal>
          <c:yVal>
            <c:numRef>
              <c:f>'Performance Summary'!$H$299:$H$329</c:f>
              <c:numCache>
                <c:formatCode>0.00</c:formatCode>
                <c:ptCount val="31"/>
                <c:pt idx="0">
                  <c:v>0</c:v>
                </c:pt>
                <c:pt idx="1">
                  <c:v>0</c:v>
                </c:pt>
                <c:pt idx="2">
                  <c:v>0</c:v>
                </c:pt>
                <c:pt idx="3">
                  <c:v>0</c:v>
                </c:pt>
                <c:pt idx="4">
                  <c:v>0</c:v>
                </c:pt>
                <c:pt idx="5">
                  <c:v>0</c:v>
                </c:pt>
                <c:pt idx="6">
                  <c:v>0</c:v>
                </c:pt>
                <c:pt idx="7">
                  <c:v>0</c:v>
                </c:pt>
                <c:pt idx="8">
                  <c:v>0</c:v>
                </c:pt>
                <c:pt idx="9">
                  <c:v>0.45238562411310473</c:v>
                </c:pt>
                <c:pt idx="10">
                  <c:v>0.59108117859335185</c:v>
                </c:pt>
                <c:pt idx="11">
                  <c:v>0.69657052227872507</c:v>
                </c:pt>
                <c:pt idx="12">
                  <c:v>0.77866603672386359</c:v>
                </c:pt>
                <c:pt idx="13">
                  <c:v>0.91837197743531374</c:v>
                </c:pt>
                <c:pt idx="14">
                  <c:v>1.2547478536327739</c:v>
                </c:pt>
                <c:pt idx="15">
                  <c:v>1.5300468600680877</c:v>
                </c:pt>
                <c:pt idx="16">
                  <c:v>2.1568853429914774</c:v>
                </c:pt>
                <c:pt idx="17">
                  <c:v>3.2122672436814814</c:v>
                </c:pt>
                <c:pt idx="18">
                  <c:v>7.887221661887228</c:v>
                </c:pt>
                <c:pt idx="19">
                  <c:v>0</c:v>
                </c:pt>
                <c:pt idx="20">
                  <c:v>0</c:v>
                </c:pt>
                <c:pt idx="21">
                  <c:v>0</c:v>
                </c:pt>
                <c:pt idx="22">
                  <c:v>0</c:v>
                </c:pt>
                <c:pt idx="23">
                  <c:v>0</c:v>
                </c:pt>
                <c:pt idx="24">
                  <c:v>0</c:v>
                </c:pt>
                <c:pt idx="25">
                  <c:v>0</c:v>
                </c:pt>
                <c:pt idx="26">
                  <c:v>0</c:v>
                </c:pt>
                <c:pt idx="27">
                  <c:v>0</c:v>
                </c:pt>
                <c:pt idx="28">
                  <c:v>0</c:v>
                </c:pt>
                <c:pt idx="29">
                  <c:v>0</c:v>
                </c:pt>
                <c:pt idx="30">
                  <c:v>0</c:v>
                </c:pt>
              </c:numCache>
            </c:numRef>
          </c:yVal>
          <c:smooth val="0"/>
          <c:extLst>
            <c:ext xmlns:c16="http://schemas.microsoft.com/office/drawing/2014/chart" uri="{C3380CC4-5D6E-409C-BE32-E72D297353CC}">
              <c16:uniqueId val="{00000004-0440-4C4C-AABD-261BF2AD5A72}"/>
            </c:ext>
          </c:extLst>
        </c:ser>
        <c:ser>
          <c:idx val="5"/>
          <c:order val="5"/>
          <c:tx>
            <c:v>α = 5</c:v>
          </c:tx>
          <c:spPr>
            <a:ln w="19050"/>
          </c:spPr>
          <c:marker>
            <c:symbol val="none"/>
          </c:marker>
          <c:xVal>
            <c:numRef>
              <c:f>'Performance Summary'!$B$299:$B$329</c:f>
              <c:numCache>
                <c:formatCode>0</c:formatCode>
                <c:ptCount val="31"/>
                <c:pt idx="0">
                  <c:v>3.4090909099999998</c:v>
                </c:pt>
                <c:pt idx="1">
                  <c:v>6.8181818199999995</c:v>
                </c:pt>
                <c:pt idx="2">
                  <c:v>10.227272729999999</c:v>
                </c:pt>
                <c:pt idx="3">
                  <c:v>13.636363639999999</c:v>
                </c:pt>
                <c:pt idx="4">
                  <c:v>17.045454549999999</c:v>
                </c:pt>
                <c:pt idx="5">
                  <c:v>20.454545459999999</c:v>
                </c:pt>
                <c:pt idx="6">
                  <c:v>23.863636369999998</c:v>
                </c:pt>
                <c:pt idx="7">
                  <c:v>27.272727279999998</c:v>
                </c:pt>
                <c:pt idx="8">
                  <c:v>30.681818190000001</c:v>
                </c:pt>
                <c:pt idx="9">
                  <c:v>34.090909099999998</c:v>
                </c:pt>
                <c:pt idx="10">
                  <c:v>37.500000010000001</c:v>
                </c:pt>
                <c:pt idx="11">
                  <c:v>40.909090919999997</c:v>
                </c:pt>
                <c:pt idx="12">
                  <c:v>44.31818183</c:v>
                </c:pt>
                <c:pt idx="13">
                  <c:v>47.727272739999997</c:v>
                </c:pt>
                <c:pt idx="14">
                  <c:v>51.13636365</c:v>
                </c:pt>
                <c:pt idx="15">
                  <c:v>54.545454559999996</c:v>
                </c:pt>
                <c:pt idx="16">
                  <c:v>57.954545469999999</c:v>
                </c:pt>
                <c:pt idx="17">
                  <c:v>61.363636380000003</c:v>
                </c:pt>
                <c:pt idx="18">
                  <c:v>64.772727290000006</c:v>
                </c:pt>
                <c:pt idx="19">
                  <c:v>68.181818199999995</c:v>
                </c:pt>
                <c:pt idx="20">
                  <c:v>71.590909109999998</c:v>
                </c:pt>
                <c:pt idx="21">
                  <c:v>75.000000020000002</c:v>
                </c:pt>
                <c:pt idx="22">
                  <c:v>78.409090930000005</c:v>
                </c:pt>
                <c:pt idx="23">
                  <c:v>81.818181839999994</c:v>
                </c:pt>
                <c:pt idx="24">
                  <c:v>85.227272749999997</c:v>
                </c:pt>
                <c:pt idx="25">
                  <c:v>88.636363660000001</c:v>
                </c:pt>
                <c:pt idx="26">
                  <c:v>92.045454570000004</c:v>
                </c:pt>
                <c:pt idx="27">
                  <c:v>95.454545479999993</c:v>
                </c:pt>
                <c:pt idx="28">
                  <c:v>98.863636389999996</c:v>
                </c:pt>
                <c:pt idx="29">
                  <c:v>102.2727273</c:v>
                </c:pt>
                <c:pt idx="30">
                  <c:v>105.68181821</c:v>
                </c:pt>
              </c:numCache>
            </c:numRef>
          </c:xVal>
          <c:yVal>
            <c:numRef>
              <c:f>'Performance Summary'!$I$299:$I$328</c:f>
              <c:numCache>
                <c:formatCode>0.00</c:formatCode>
                <c:ptCount val="30"/>
                <c:pt idx="0">
                  <c:v>0</c:v>
                </c:pt>
                <c:pt idx="1">
                  <c:v>0</c:v>
                </c:pt>
                <c:pt idx="2">
                  <c:v>0</c:v>
                </c:pt>
                <c:pt idx="3">
                  <c:v>0</c:v>
                </c:pt>
                <c:pt idx="4">
                  <c:v>0</c:v>
                </c:pt>
                <c:pt idx="5">
                  <c:v>0</c:v>
                </c:pt>
                <c:pt idx="6">
                  <c:v>0</c:v>
                </c:pt>
                <c:pt idx="7">
                  <c:v>0</c:v>
                </c:pt>
                <c:pt idx="8">
                  <c:v>0</c:v>
                </c:pt>
                <c:pt idx="9">
                  <c:v>0.54159364075585592</c:v>
                </c:pt>
                <c:pt idx="10">
                  <c:v>0.65951603036382167</c:v>
                </c:pt>
                <c:pt idx="11">
                  <c:v>0.74920567854448339</c:v>
                </c:pt>
                <c:pt idx="12">
                  <c:v>0.81900531470257498</c:v>
                </c:pt>
                <c:pt idx="13">
                  <c:v>1.1199217370616568</c:v>
                </c:pt>
                <c:pt idx="14">
                  <c:v>1.4117486360400666</c:v>
                </c:pt>
                <c:pt idx="15">
                  <c:v>1.6505875689862977</c:v>
                </c:pt>
                <c:pt idx="16">
                  <c:v>2.6998970260281592</c:v>
                </c:pt>
                <c:pt idx="17">
                  <c:v>4.8658031395757702</c:v>
                </c:pt>
                <c:pt idx="18">
                  <c:v>0</c:v>
                </c:pt>
                <c:pt idx="19">
                  <c:v>0</c:v>
                </c:pt>
                <c:pt idx="20">
                  <c:v>0</c:v>
                </c:pt>
                <c:pt idx="21">
                  <c:v>0</c:v>
                </c:pt>
                <c:pt idx="22">
                  <c:v>0</c:v>
                </c:pt>
                <c:pt idx="23">
                  <c:v>0</c:v>
                </c:pt>
                <c:pt idx="24">
                  <c:v>0</c:v>
                </c:pt>
                <c:pt idx="25">
                  <c:v>0</c:v>
                </c:pt>
                <c:pt idx="26">
                  <c:v>0</c:v>
                </c:pt>
                <c:pt idx="27">
                  <c:v>0</c:v>
                </c:pt>
                <c:pt idx="28">
                  <c:v>0</c:v>
                </c:pt>
                <c:pt idx="29">
                  <c:v>0</c:v>
                </c:pt>
              </c:numCache>
            </c:numRef>
          </c:yVal>
          <c:smooth val="0"/>
          <c:extLst>
            <c:ext xmlns:c16="http://schemas.microsoft.com/office/drawing/2014/chart" uri="{C3380CC4-5D6E-409C-BE32-E72D297353CC}">
              <c16:uniqueId val="{00000005-0440-4C4C-AABD-261BF2AD5A72}"/>
            </c:ext>
          </c:extLst>
        </c:ser>
        <c:ser>
          <c:idx val="6"/>
          <c:order val="6"/>
          <c:tx>
            <c:v>α = 6</c:v>
          </c:tx>
          <c:spPr>
            <a:ln w="19050"/>
          </c:spPr>
          <c:marker>
            <c:symbol val="none"/>
          </c:marker>
          <c:xVal>
            <c:numRef>
              <c:f>'Performance Summary'!$B$299:$B$329</c:f>
              <c:numCache>
                <c:formatCode>0</c:formatCode>
                <c:ptCount val="31"/>
                <c:pt idx="0">
                  <c:v>3.4090909099999998</c:v>
                </c:pt>
                <c:pt idx="1">
                  <c:v>6.8181818199999995</c:v>
                </c:pt>
                <c:pt idx="2">
                  <c:v>10.227272729999999</c:v>
                </c:pt>
                <c:pt idx="3">
                  <c:v>13.636363639999999</c:v>
                </c:pt>
                <c:pt idx="4">
                  <c:v>17.045454549999999</c:v>
                </c:pt>
                <c:pt idx="5">
                  <c:v>20.454545459999999</c:v>
                </c:pt>
                <c:pt idx="6">
                  <c:v>23.863636369999998</c:v>
                </c:pt>
                <c:pt idx="7">
                  <c:v>27.272727279999998</c:v>
                </c:pt>
                <c:pt idx="8">
                  <c:v>30.681818190000001</c:v>
                </c:pt>
                <c:pt idx="9">
                  <c:v>34.090909099999998</c:v>
                </c:pt>
                <c:pt idx="10">
                  <c:v>37.500000010000001</c:v>
                </c:pt>
                <c:pt idx="11">
                  <c:v>40.909090919999997</c:v>
                </c:pt>
                <c:pt idx="12">
                  <c:v>44.31818183</c:v>
                </c:pt>
                <c:pt idx="13">
                  <c:v>47.727272739999997</c:v>
                </c:pt>
                <c:pt idx="14">
                  <c:v>51.13636365</c:v>
                </c:pt>
                <c:pt idx="15">
                  <c:v>54.545454559999996</c:v>
                </c:pt>
                <c:pt idx="16">
                  <c:v>57.954545469999999</c:v>
                </c:pt>
                <c:pt idx="17">
                  <c:v>61.363636380000003</c:v>
                </c:pt>
                <c:pt idx="18">
                  <c:v>64.772727290000006</c:v>
                </c:pt>
                <c:pt idx="19">
                  <c:v>68.181818199999995</c:v>
                </c:pt>
                <c:pt idx="20">
                  <c:v>71.590909109999998</c:v>
                </c:pt>
                <c:pt idx="21">
                  <c:v>75.000000020000002</c:v>
                </c:pt>
                <c:pt idx="22">
                  <c:v>78.409090930000005</c:v>
                </c:pt>
                <c:pt idx="23">
                  <c:v>81.818181839999994</c:v>
                </c:pt>
                <c:pt idx="24">
                  <c:v>85.227272749999997</c:v>
                </c:pt>
                <c:pt idx="25">
                  <c:v>88.636363660000001</c:v>
                </c:pt>
                <c:pt idx="26">
                  <c:v>92.045454570000004</c:v>
                </c:pt>
                <c:pt idx="27">
                  <c:v>95.454545479999993</c:v>
                </c:pt>
                <c:pt idx="28">
                  <c:v>98.863636389999996</c:v>
                </c:pt>
                <c:pt idx="29">
                  <c:v>102.2727273</c:v>
                </c:pt>
                <c:pt idx="30">
                  <c:v>105.68181821</c:v>
                </c:pt>
              </c:numCache>
            </c:numRef>
          </c:xVal>
          <c:yVal>
            <c:numRef>
              <c:f>'Performance Summary'!$J$299:$J$329</c:f>
              <c:numCache>
                <c:formatCode>0.00</c:formatCode>
                <c:ptCount val="31"/>
                <c:pt idx="0">
                  <c:v>0</c:v>
                </c:pt>
                <c:pt idx="1">
                  <c:v>0</c:v>
                </c:pt>
                <c:pt idx="2">
                  <c:v>0</c:v>
                </c:pt>
                <c:pt idx="3">
                  <c:v>0</c:v>
                </c:pt>
                <c:pt idx="4">
                  <c:v>0</c:v>
                </c:pt>
                <c:pt idx="5">
                  <c:v>0</c:v>
                </c:pt>
                <c:pt idx="6">
                  <c:v>0</c:v>
                </c:pt>
                <c:pt idx="7">
                  <c:v>0</c:v>
                </c:pt>
                <c:pt idx="8">
                  <c:v>0.47325963981361319</c:v>
                </c:pt>
                <c:pt idx="9">
                  <c:v>0.61052846869048305</c:v>
                </c:pt>
                <c:pt idx="10">
                  <c:v>0.71209187796388718</c:v>
                </c:pt>
                <c:pt idx="11">
                  <c:v>0.78933917999061631</c:v>
                </c:pt>
                <c:pt idx="12">
                  <c:v>0.95945573701691489</c:v>
                </c:pt>
                <c:pt idx="13">
                  <c:v>1.2768490467887372</c:v>
                </c:pt>
                <c:pt idx="14">
                  <c:v>1.5329057729108284</c:v>
                </c:pt>
                <c:pt idx="15">
                  <c:v>2.1057940366268735</c:v>
                </c:pt>
                <c:pt idx="16">
                  <c:v>3.1502239135362342</c:v>
                </c:pt>
                <c:pt idx="17">
                  <c:v>7.3859382716921385</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yVal>
          <c:smooth val="0"/>
          <c:extLst>
            <c:ext xmlns:c16="http://schemas.microsoft.com/office/drawing/2014/chart" uri="{C3380CC4-5D6E-409C-BE32-E72D297353CC}">
              <c16:uniqueId val="{00000006-0440-4C4C-AABD-261BF2AD5A72}"/>
            </c:ext>
          </c:extLst>
        </c:ser>
        <c:ser>
          <c:idx val="7"/>
          <c:order val="7"/>
          <c:tx>
            <c:v>α = 7</c:v>
          </c:tx>
          <c:spPr>
            <a:ln w="19050"/>
          </c:spPr>
          <c:marker>
            <c:symbol val="none"/>
          </c:marker>
          <c:xVal>
            <c:numRef>
              <c:f>'Performance Summary'!$B$299:$B$329</c:f>
              <c:numCache>
                <c:formatCode>0</c:formatCode>
                <c:ptCount val="31"/>
                <c:pt idx="0">
                  <c:v>3.4090909099999998</c:v>
                </c:pt>
                <c:pt idx="1">
                  <c:v>6.8181818199999995</c:v>
                </c:pt>
                <c:pt idx="2">
                  <c:v>10.227272729999999</c:v>
                </c:pt>
                <c:pt idx="3">
                  <c:v>13.636363639999999</c:v>
                </c:pt>
                <c:pt idx="4">
                  <c:v>17.045454549999999</c:v>
                </c:pt>
                <c:pt idx="5">
                  <c:v>20.454545459999999</c:v>
                </c:pt>
                <c:pt idx="6">
                  <c:v>23.863636369999998</c:v>
                </c:pt>
                <c:pt idx="7">
                  <c:v>27.272727279999998</c:v>
                </c:pt>
                <c:pt idx="8">
                  <c:v>30.681818190000001</c:v>
                </c:pt>
                <c:pt idx="9">
                  <c:v>34.090909099999998</c:v>
                </c:pt>
                <c:pt idx="10">
                  <c:v>37.500000010000001</c:v>
                </c:pt>
                <c:pt idx="11">
                  <c:v>40.909090919999997</c:v>
                </c:pt>
                <c:pt idx="12">
                  <c:v>44.31818183</c:v>
                </c:pt>
                <c:pt idx="13">
                  <c:v>47.727272739999997</c:v>
                </c:pt>
                <c:pt idx="14">
                  <c:v>51.13636365</c:v>
                </c:pt>
                <c:pt idx="15">
                  <c:v>54.545454559999996</c:v>
                </c:pt>
                <c:pt idx="16">
                  <c:v>57.954545469999999</c:v>
                </c:pt>
                <c:pt idx="17">
                  <c:v>61.363636380000003</c:v>
                </c:pt>
                <c:pt idx="18">
                  <c:v>64.772727290000006</c:v>
                </c:pt>
                <c:pt idx="19">
                  <c:v>68.181818199999995</c:v>
                </c:pt>
                <c:pt idx="20">
                  <c:v>71.590909109999998</c:v>
                </c:pt>
                <c:pt idx="21">
                  <c:v>75.000000020000002</c:v>
                </c:pt>
                <c:pt idx="22">
                  <c:v>78.409090930000005</c:v>
                </c:pt>
                <c:pt idx="23">
                  <c:v>81.818181839999994</c:v>
                </c:pt>
                <c:pt idx="24">
                  <c:v>85.227272749999997</c:v>
                </c:pt>
                <c:pt idx="25">
                  <c:v>88.636363660000001</c:v>
                </c:pt>
                <c:pt idx="26">
                  <c:v>92.045454570000004</c:v>
                </c:pt>
                <c:pt idx="27">
                  <c:v>95.454545479999993</c:v>
                </c:pt>
                <c:pt idx="28">
                  <c:v>98.863636389999996</c:v>
                </c:pt>
                <c:pt idx="29">
                  <c:v>102.2727273</c:v>
                </c:pt>
                <c:pt idx="30">
                  <c:v>105.68181821</c:v>
                </c:pt>
              </c:numCache>
            </c:numRef>
          </c:xVal>
          <c:yVal>
            <c:numRef>
              <c:f>'Performance Summary'!$K$299:$K$329</c:f>
              <c:numCache>
                <c:formatCode>0.00</c:formatCode>
                <c:ptCount val="31"/>
                <c:pt idx="0">
                  <c:v>0</c:v>
                </c:pt>
                <c:pt idx="1">
                  <c:v>0</c:v>
                </c:pt>
                <c:pt idx="2">
                  <c:v>0</c:v>
                </c:pt>
                <c:pt idx="3">
                  <c:v>0</c:v>
                </c:pt>
                <c:pt idx="4">
                  <c:v>0</c:v>
                </c:pt>
                <c:pt idx="5">
                  <c:v>0</c:v>
                </c:pt>
                <c:pt idx="6">
                  <c:v>0</c:v>
                </c:pt>
                <c:pt idx="7">
                  <c:v>0</c:v>
                </c:pt>
                <c:pt idx="8">
                  <c:v>0.54526010808758785</c:v>
                </c:pt>
                <c:pt idx="9">
                  <c:v>0.66478479362678167</c:v>
                </c:pt>
                <c:pt idx="10">
                  <c:v>0.75321954356247933</c:v>
                </c:pt>
                <c:pt idx="11">
                  <c:v>0.82048142347388953</c:v>
                </c:pt>
                <c:pt idx="12">
                  <c:v>1.1198902943064628</c:v>
                </c:pt>
                <c:pt idx="13">
                  <c:v>1.4010326103401627</c:v>
                </c:pt>
                <c:pt idx="14">
                  <c:v>1.6278438845592846</c:v>
                </c:pt>
                <c:pt idx="15">
                  <c:v>2.5674264016398816</c:v>
                </c:pt>
                <c:pt idx="16">
                  <c:v>4.2509614185592799</c:v>
                </c:pt>
                <c:pt idx="17">
                  <c:v>9.643367872440896</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yVal>
          <c:smooth val="0"/>
          <c:extLst>
            <c:ext xmlns:c16="http://schemas.microsoft.com/office/drawing/2014/chart" uri="{C3380CC4-5D6E-409C-BE32-E72D297353CC}">
              <c16:uniqueId val="{00000007-0440-4C4C-AABD-261BF2AD5A72}"/>
            </c:ext>
          </c:extLst>
        </c:ser>
        <c:ser>
          <c:idx val="8"/>
          <c:order val="8"/>
          <c:spPr>
            <a:ln w="22225">
              <a:solidFill>
                <a:srgbClr val="FF0000"/>
              </a:solidFill>
              <a:prstDash val="dash"/>
            </a:ln>
          </c:spPr>
          <c:marker>
            <c:symbol val="none"/>
          </c:marker>
          <c:xVal>
            <c:numRef>
              <c:f>'Performance Summary'!$V$348:$V$350</c:f>
              <c:numCache>
                <c:formatCode>General</c:formatCode>
                <c:ptCount val="3"/>
                <c:pt idx="0">
                  <c:v>0.1</c:v>
                </c:pt>
                <c:pt idx="1">
                  <c:v>75</c:v>
                </c:pt>
                <c:pt idx="2">
                  <c:v>75</c:v>
                </c:pt>
              </c:numCache>
            </c:numRef>
          </c:xVal>
          <c:yVal>
            <c:numRef>
              <c:f>'Performance Summary'!$W$348:$W$350</c:f>
              <c:numCache>
                <c:formatCode>General</c:formatCode>
                <c:ptCount val="3"/>
                <c:pt idx="0">
                  <c:v>10</c:v>
                </c:pt>
                <c:pt idx="1">
                  <c:v>10</c:v>
                </c:pt>
                <c:pt idx="2">
                  <c:v>0.1</c:v>
                </c:pt>
              </c:numCache>
            </c:numRef>
          </c:yVal>
          <c:smooth val="0"/>
          <c:extLst>
            <c:ext xmlns:c16="http://schemas.microsoft.com/office/drawing/2014/chart" uri="{C3380CC4-5D6E-409C-BE32-E72D297353CC}">
              <c16:uniqueId val="{00000008-0440-4C4C-AABD-261BF2AD5A72}"/>
            </c:ext>
          </c:extLst>
        </c:ser>
        <c:ser>
          <c:idx val="9"/>
          <c:order val="9"/>
          <c:tx>
            <c:v>α = 0</c:v>
          </c:tx>
          <c:spPr>
            <a:ln w="19050"/>
          </c:spPr>
          <c:marker>
            <c:symbol val="none"/>
          </c:marker>
          <c:xVal>
            <c:numRef>
              <c:f>'Performance Summary'!$B$299:$B$329</c:f>
              <c:numCache>
                <c:formatCode>0</c:formatCode>
                <c:ptCount val="31"/>
                <c:pt idx="0">
                  <c:v>3.4090909099999998</c:v>
                </c:pt>
                <c:pt idx="1">
                  <c:v>6.8181818199999995</c:v>
                </c:pt>
                <c:pt idx="2">
                  <c:v>10.227272729999999</c:v>
                </c:pt>
                <c:pt idx="3">
                  <c:v>13.636363639999999</c:v>
                </c:pt>
                <c:pt idx="4">
                  <c:v>17.045454549999999</c:v>
                </c:pt>
                <c:pt idx="5">
                  <c:v>20.454545459999999</c:v>
                </c:pt>
                <c:pt idx="6">
                  <c:v>23.863636369999998</c:v>
                </c:pt>
                <c:pt idx="7">
                  <c:v>27.272727279999998</c:v>
                </c:pt>
                <c:pt idx="8">
                  <c:v>30.681818190000001</c:v>
                </c:pt>
                <c:pt idx="9">
                  <c:v>34.090909099999998</c:v>
                </c:pt>
                <c:pt idx="10">
                  <c:v>37.500000010000001</c:v>
                </c:pt>
                <c:pt idx="11">
                  <c:v>40.909090919999997</c:v>
                </c:pt>
                <c:pt idx="12">
                  <c:v>44.31818183</c:v>
                </c:pt>
                <c:pt idx="13">
                  <c:v>47.727272739999997</c:v>
                </c:pt>
                <c:pt idx="14">
                  <c:v>51.13636365</c:v>
                </c:pt>
                <c:pt idx="15">
                  <c:v>54.545454559999996</c:v>
                </c:pt>
                <c:pt idx="16">
                  <c:v>57.954545469999999</c:v>
                </c:pt>
                <c:pt idx="17">
                  <c:v>61.363636380000003</c:v>
                </c:pt>
                <c:pt idx="18">
                  <c:v>64.772727290000006</c:v>
                </c:pt>
                <c:pt idx="19">
                  <c:v>68.181818199999995</c:v>
                </c:pt>
                <c:pt idx="20">
                  <c:v>71.590909109999998</c:v>
                </c:pt>
                <c:pt idx="21">
                  <c:v>75.000000020000002</c:v>
                </c:pt>
                <c:pt idx="22">
                  <c:v>78.409090930000005</c:v>
                </c:pt>
                <c:pt idx="23">
                  <c:v>81.818181839999994</c:v>
                </c:pt>
                <c:pt idx="24">
                  <c:v>85.227272749999997</c:v>
                </c:pt>
                <c:pt idx="25">
                  <c:v>88.636363660000001</c:v>
                </c:pt>
                <c:pt idx="26">
                  <c:v>92.045454570000004</c:v>
                </c:pt>
                <c:pt idx="27">
                  <c:v>95.454545479999993</c:v>
                </c:pt>
                <c:pt idx="28">
                  <c:v>98.863636389999996</c:v>
                </c:pt>
                <c:pt idx="29">
                  <c:v>102.2727273</c:v>
                </c:pt>
                <c:pt idx="30">
                  <c:v>105.68181821</c:v>
                </c:pt>
              </c:numCache>
            </c:numRef>
          </c:xVal>
          <c:yVal>
            <c:numRef>
              <c:f>'Performance Summary'!$D$299:$D$329</c:f>
              <c:numCache>
                <c:formatCode>0.00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0.52916620402922443</c:v>
                </c:pt>
                <c:pt idx="14">
                  <c:v>0.65188661418389504</c:v>
                </c:pt>
                <c:pt idx="15">
                  <c:v>0.75232427745164554</c:v>
                </c:pt>
                <c:pt idx="16">
                  <c:v>0.86224338216261509</c:v>
                </c:pt>
                <c:pt idx="17">
                  <c:v>1.2664400273146401</c:v>
                </c:pt>
                <c:pt idx="18">
                  <c:v>1.6085116321116806</c:v>
                </c:pt>
                <c:pt idx="19">
                  <c:v>2.6932122801539791</c:v>
                </c:pt>
                <c:pt idx="20">
                  <c:v>5.9377840718832005</c:v>
                </c:pt>
                <c:pt idx="21">
                  <c:v>0</c:v>
                </c:pt>
                <c:pt idx="22">
                  <c:v>0</c:v>
                </c:pt>
                <c:pt idx="23">
                  <c:v>0</c:v>
                </c:pt>
                <c:pt idx="24">
                  <c:v>0</c:v>
                </c:pt>
                <c:pt idx="25">
                  <c:v>0</c:v>
                </c:pt>
                <c:pt idx="26">
                  <c:v>0</c:v>
                </c:pt>
                <c:pt idx="27">
                  <c:v>0</c:v>
                </c:pt>
                <c:pt idx="28">
                  <c:v>0</c:v>
                </c:pt>
                <c:pt idx="29">
                  <c:v>0</c:v>
                </c:pt>
                <c:pt idx="30">
                  <c:v>0</c:v>
                </c:pt>
              </c:numCache>
            </c:numRef>
          </c:yVal>
          <c:smooth val="0"/>
          <c:extLst>
            <c:ext xmlns:c16="http://schemas.microsoft.com/office/drawing/2014/chart" uri="{C3380CC4-5D6E-409C-BE32-E72D297353CC}">
              <c16:uniqueId val="{00000009-0440-4C4C-AABD-261BF2AD5A72}"/>
            </c:ext>
          </c:extLst>
        </c:ser>
        <c:dLbls>
          <c:showLegendKey val="0"/>
          <c:showVal val="0"/>
          <c:showCatName val="0"/>
          <c:showSerName val="0"/>
          <c:showPercent val="0"/>
          <c:showBubbleSize val="0"/>
        </c:dLbls>
        <c:axId val="576275968"/>
        <c:axId val="576276360"/>
      </c:scatterChart>
      <c:valAx>
        <c:axId val="576275968"/>
        <c:scaling>
          <c:orientation val="minMax"/>
        </c:scaling>
        <c:delete val="0"/>
        <c:axPos val="b"/>
        <c:majorGridlines/>
        <c:title>
          <c:tx>
            <c:rich>
              <a:bodyPr/>
              <a:lstStyle/>
              <a:p>
                <a:pPr>
                  <a:defRPr/>
                </a:pPr>
                <a:r>
                  <a:rPr lang="en-CA"/>
                  <a:t>WIG Craft</a:t>
                </a:r>
                <a:r>
                  <a:rPr lang="en-CA" baseline="0"/>
                  <a:t> Speed (mph)</a:t>
                </a:r>
                <a:endParaRPr lang="en-CA"/>
              </a:p>
            </c:rich>
          </c:tx>
          <c:overlay val="0"/>
        </c:title>
        <c:numFmt formatCode="0" sourceLinked="1"/>
        <c:majorTickMark val="out"/>
        <c:minorTickMark val="none"/>
        <c:tickLblPos val="nextTo"/>
        <c:crossAx val="576276360"/>
        <c:crossesAt val="1.0000000000000005E-2"/>
        <c:crossBetween val="midCat"/>
      </c:valAx>
      <c:valAx>
        <c:axId val="576276360"/>
        <c:scaling>
          <c:logBase val="10"/>
          <c:orientation val="minMax"/>
        </c:scaling>
        <c:delete val="0"/>
        <c:axPos val="l"/>
        <c:minorGridlines/>
        <c:title>
          <c:tx>
            <c:rich>
              <a:bodyPr rot="-5400000" vert="horz"/>
              <a:lstStyle/>
              <a:p>
                <a:pPr>
                  <a:defRPr/>
                </a:pPr>
                <a:r>
                  <a:rPr lang="en-US"/>
                  <a:t>CL (series 1), height (all others)</a:t>
                </a:r>
              </a:p>
            </c:rich>
          </c:tx>
          <c:overlay val="0"/>
        </c:title>
        <c:numFmt formatCode="0.00" sourceLinked="1"/>
        <c:majorTickMark val="out"/>
        <c:minorTickMark val="none"/>
        <c:tickLblPos val="nextTo"/>
        <c:crossAx val="576275968"/>
        <c:crosses val="autoZero"/>
        <c:crossBetween val="midCat"/>
      </c:valAx>
    </c:plotArea>
    <c:legend>
      <c:legendPos val="r"/>
      <c:legendEntry>
        <c:idx val="8"/>
        <c:delete val="1"/>
      </c:legendEntry>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000000000000111" l="0.70000000000000062" r="0.70000000000000062" t="0.750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Graphs!$B$80</c:f>
              <c:strCache>
                <c:ptCount val="1"/>
                <c:pt idx="0">
                  <c:v>0.042</c:v>
                </c:pt>
              </c:strCache>
            </c:strRef>
          </c:tx>
          <c:trendline>
            <c:trendlineType val="poly"/>
            <c:order val="2"/>
            <c:dispRSqr val="0"/>
            <c:dispEq val="1"/>
            <c:trendlineLbl>
              <c:numFmt formatCode="General" sourceLinked="0"/>
            </c:trendlineLbl>
          </c:trendline>
          <c:xVal>
            <c:numRef>
              <c:f>Graphs!$A$82:$A$86</c:f>
              <c:numCache>
                <c:formatCode>General</c:formatCode>
                <c:ptCount val="5"/>
                <c:pt idx="0">
                  <c:v>-6</c:v>
                </c:pt>
                <c:pt idx="1">
                  <c:v>-4</c:v>
                </c:pt>
                <c:pt idx="2">
                  <c:v>-2</c:v>
                </c:pt>
                <c:pt idx="3">
                  <c:v>0</c:v>
                </c:pt>
                <c:pt idx="4">
                  <c:v>2</c:v>
                </c:pt>
              </c:numCache>
            </c:numRef>
          </c:xVal>
          <c:yVal>
            <c:numRef>
              <c:f>Graphs!$B$82:$B$86</c:f>
              <c:numCache>
                <c:formatCode>General</c:formatCode>
                <c:ptCount val="5"/>
                <c:pt idx="0">
                  <c:v>-0.22</c:v>
                </c:pt>
                <c:pt idx="1">
                  <c:v>-0.05</c:v>
                </c:pt>
                <c:pt idx="2">
                  <c:v>0.2</c:v>
                </c:pt>
                <c:pt idx="3">
                  <c:v>0.54</c:v>
                </c:pt>
                <c:pt idx="4">
                  <c:v>1.1000000000000001</c:v>
                </c:pt>
              </c:numCache>
            </c:numRef>
          </c:yVal>
          <c:smooth val="0"/>
          <c:extLst>
            <c:ext xmlns:c16="http://schemas.microsoft.com/office/drawing/2014/chart" uri="{C3380CC4-5D6E-409C-BE32-E72D297353CC}">
              <c16:uniqueId val="{00000000-D600-499F-B95F-ECDEA718E05F}"/>
            </c:ext>
          </c:extLst>
        </c:ser>
        <c:ser>
          <c:idx val="1"/>
          <c:order val="1"/>
          <c:tx>
            <c:strRef>
              <c:f>Graphs!$C$80</c:f>
              <c:strCache>
                <c:ptCount val="1"/>
                <c:pt idx="0">
                  <c:v>0.083</c:v>
                </c:pt>
              </c:strCache>
            </c:strRef>
          </c:tx>
          <c:trendline>
            <c:trendlineType val="poly"/>
            <c:order val="2"/>
            <c:dispRSqr val="0"/>
            <c:dispEq val="1"/>
            <c:trendlineLbl>
              <c:numFmt formatCode="General" sourceLinked="0"/>
            </c:trendlineLbl>
          </c:trendline>
          <c:xVal>
            <c:numRef>
              <c:f>Graphs!$A$81:$A$87</c:f>
              <c:numCache>
                <c:formatCode>General</c:formatCode>
                <c:ptCount val="7"/>
                <c:pt idx="0">
                  <c:v>-8</c:v>
                </c:pt>
                <c:pt idx="1">
                  <c:v>-6</c:v>
                </c:pt>
                <c:pt idx="2">
                  <c:v>-4</c:v>
                </c:pt>
                <c:pt idx="3">
                  <c:v>-2</c:v>
                </c:pt>
                <c:pt idx="4">
                  <c:v>0</c:v>
                </c:pt>
                <c:pt idx="5">
                  <c:v>2</c:v>
                </c:pt>
                <c:pt idx="6">
                  <c:v>4</c:v>
                </c:pt>
              </c:numCache>
            </c:numRef>
          </c:xVal>
          <c:yVal>
            <c:numRef>
              <c:f>Graphs!$C$81:$C$87</c:f>
              <c:numCache>
                <c:formatCode>General</c:formatCode>
                <c:ptCount val="7"/>
                <c:pt idx="0">
                  <c:v>-0.32</c:v>
                </c:pt>
                <c:pt idx="1">
                  <c:v>-0.12</c:v>
                </c:pt>
                <c:pt idx="2">
                  <c:v>0.1</c:v>
                </c:pt>
                <c:pt idx="3">
                  <c:v>0.3</c:v>
                </c:pt>
                <c:pt idx="4">
                  <c:v>0.56999999999999995</c:v>
                </c:pt>
                <c:pt idx="5">
                  <c:v>0.84</c:v>
                </c:pt>
                <c:pt idx="6">
                  <c:v>1.1399999999999999</c:v>
                </c:pt>
              </c:numCache>
            </c:numRef>
          </c:yVal>
          <c:smooth val="0"/>
          <c:extLst>
            <c:ext xmlns:c16="http://schemas.microsoft.com/office/drawing/2014/chart" uri="{C3380CC4-5D6E-409C-BE32-E72D297353CC}">
              <c16:uniqueId val="{00000001-D600-499F-B95F-ECDEA718E05F}"/>
            </c:ext>
          </c:extLst>
        </c:ser>
        <c:ser>
          <c:idx val="2"/>
          <c:order val="2"/>
          <c:tx>
            <c:strRef>
              <c:f>Graphs!$D$80</c:f>
              <c:strCache>
                <c:ptCount val="1"/>
                <c:pt idx="0">
                  <c:v>0.167</c:v>
                </c:pt>
              </c:strCache>
            </c:strRef>
          </c:tx>
          <c:trendline>
            <c:trendlineType val="linear"/>
            <c:dispRSqr val="0"/>
            <c:dispEq val="1"/>
            <c:trendlineLbl>
              <c:numFmt formatCode="General" sourceLinked="0"/>
            </c:trendlineLbl>
          </c:trendline>
          <c:xVal>
            <c:numRef>
              <c:f>Graphs!$A$81:$A$90</c:f>
              <c:numCache>
                <c:formatCode>General</c:formatCode>
                <c:ptCount val="10"/>
                <c:pt idx="0">
                  <c:v>-8</c:v>
                </c:pt>
                <c:pt idx="1">
                  <c:v>-6</c:v>
                </c:pt>
                <c:pt idx="2">
                  <c:v>-4</c:v>
                </c:pt>
                <c:pt idx="3">
                  <c:v>-2</c:v>
                </c:pt>
                <c:pt idx="4">
                  <c:v>0</c:v>
                </c:pt>
                <c:pt idx="5">
                  <c:v>2</c:v>
                </c:pt>
                <c:pt idx="6">
                  <c:v>4</c:v>
                </c:pt>
                <c:pt idx="7">
                  <c:v>6</c:v>
                </c:pt>
                <c:pt idx="8">
                  <c:v>8</c:v>
                </c:pt>
                <c:pt idx="9">
                  <c:v>10</c:v>
                </c:pt>
              </c:numCache>
            </c:numRef>
          </c:xVal>
          <c:yVal>
            <c:numRef>
              <c:f>Graphs!$D$81:$D$90</c:f>
              <c:numCache>
                <c:formatCode>General</c:formatCode>
                <c:ptCount val="10"/>
                <c:pt idx="0">
                  <c:v>-0.1</c:v>
                </c:pt>
                <c:pt idx="1">
                  <c:v>0.08</c:v>
                </c:pt>
                <c:pt idx="2">
                  <c:v>0.23499999999999999</c:v>
                </c:pt>
                <c:pt idx="3">
                  <c:v>0.37</c:v>
                </c:pt>
                <c:pt idx="4">
                  <c:v>0.55000000000000004</c:v>
                </c:pt>
                <c:pt idx="5">
                  <c:v>0.72499999999999998</c:v>
                </c:pt>
                <c:pt idx="6">
                  <c:v>0.91500000000000004</c:v>
                </c:pt>
                <c:pt idx="7">
                  <c:v>1.0900000000000001</c:v>
                </c:pt>
                <c:pt idx="8">
                  <c:v>1.28</c:v>
                </c:pt>
                <c:pt idx="9">
                  <c:v>1.48</c:v>
                </c:pt>
              </c:numCache>
            </c:numRef>
          </c:yVal>
          <c:smooth val="0"/>
          <c:extLst>
            <c:ext xmlns:c16="http://schemas.microsoft.com/office/drawing/2014/chart" uri="{C3380CC4-5D6E-409C-BE32-E72D297353CC}">
              <c16:uniqueId val="{00000002-D600-499F-B95F-ECDEA718E05F}"/>
            </c:ext>
          </c:extLst>
        </c:ser>
        <c:ser>
          <c:idx val="3"/>
          <c:order val="3"/>
          <c:tx>
            <c:strRef>
              <c:f>Graphs!$E$80</c:f>
              <c:strCache>
                <c:ptCount val="1"/>
                <c:pt idx="0">
                  <c:v>0.333</c:v>
                </c:pt>
              </c:strCache>
            </c:strRef>
          </c:tx>
          <c:trendline>
            <c:trendlineType val="linear"/>
            <c:dispRSqr val="0"/>
            <c:dispEq val="1"/>
            <c:trendlineLbl>
              <c:layout>
                <c:manualLayout>
                  <c:x val="0.24042091590451162"/>
                  <c:y val="-2.5490364318112399E-2"/>
                </c:manualLayout>
              </c:layout>
              <c:numFmt formatCode="General" sourceLinked="0"/>
            </c:trendlineLbl>
          </c:trendline>
          <c:xVal>
            <c:numRef>
              <c:f>Graphs!$A$81:$A$91</c:f>
              <c:numCache>
                <c:formatCode>General</c:formatCode>
                <c:ptCount val="11"/>
                <c:pt idx="0">
                  <c:v>-8</c:v>
                </c:pt>
                <c:pt idx="1">
                  <c:v>-6</c:v>
                </c:pt>
                <c:pt idx="2">
                  <c:v>-4</c:v>
                </c:pt>
                <c:pt idx="3">
                  <c:v>-2</c:v>
                </c:pt>
                <c:pt idx="4">
                  <c:v>0</c:v>
                </c:pt>
                <c:pt idx="5">
                  <c:v>2</c:v>
                </c:pt>
                <c:pt idx="6">
                  <c:v>4</c:v>
                </c:pt>
                <c:pt idx="7">
                  <c:v>6</c:v>
                </c:pt>
                <c:pt idx="8">
                  <c:v>8</c:v>
                </c:pt>
                <c:pt idx="9">
                  <c:v>10</c:v>
                </c:pt>
                <c:pt idx="10">
                  <c:v>12</c:v>
                </c:pt>
              </c:numCache>
            </c:numRef>
          </c:xVal>
          <c:yVal>
            <c:numRef>
              <c:f>Graphs!$E$81:$E$90</c:f>
              <c:numCache>
                <c:formatCode>General</c:formatCode>
                <c:ptCount val="10"/>
                <c:pt idx="0">
                  <c:v>0.05</c:v>
                </c:pt>
                <c:pt idx="1">
                  <c:v>0.18</c:v>
                </c:pt>
                <c:pt idx="2">
                  <c:v>0.32</c:v>
                </c:pt>
                <c:pt idx="3">
                  <c:v>0.43</c:v>
                </c:pt>
                <c:pt idx="4">
                  <c:v>0.55000000000000004</c:v>
                </c:pt>
                <c:pt idx="5">
                  <c:v>0.69</c:v>
                </c:pt>
                <c:pt idx="6">
                  <c:v>0.82499999999999996</c:v>
                </c:pt>
                <c:pt idx="7">
                  <c:v>0.95</c:v>
                </c:pt>
                <c:pt idx="8">
                  <c:v>1.07</c:v>
                </c:pt>
                <c:pt idx="9">
                  <c:v>1.21</c:v>
                </c:pt>
              </c:numCache>
            </c:numRef>
          </c:yVal>
          <c:smooth val="0"/>
          <c:extLst>
            <c:ext xmlns:c16="http://schemas.microsoft.com/office/drawing/2014/chart" uri="{C3380CC4-5D6E-409C-BE32-E72D297353CC}">
              <c16:uniqueId val="{00000003-D600-499F-B95F-ECDEA718E05F}"/>
            </c:ext>
          </c:extLst>
        </c:ser>
        <c:ser>
          <c:idx val="4"/>
          <c:order val="4"/>
          <c:tx>
            <c:strRef>
              <c:f>Graphs!$F$80</c:f>
              <c:strCache>
                <c:ptCount val="1"/>
                <c:pt idx="0">
                  <c:v>0.5</c:v>
                </c:pt>
              </c:strCache>
            </c:strRef>
          </c:tx>
          <c:trendline>
            <c:trendlineType val="linear"/>
            <c:dispRSqr val="0"/>
            <c:dispEq val="1"/>
            <c:trendlineLbl>
              <c:layout>
                <c:manualLayout>
                  <c:x val="2.1050881798026045E-2"/>
                  <c:y val="5.3032731438695184E-2"/>
                </c:manualLayout>
              </c:layout>
              <c:numFmt formatCode="General" sourceLinked="0"/>
            </c:trendlineLbl>
          </c:trendline>
          <c:xVal>
            <c:numRef>
              <c:f>Graphs!$A$81:$A$91</c:f>
              <c:numCache>
                <c:formatCode>General</c:formatCode>
                <c:ptCount val="11"/>
                <c:pt idx="0">
                  <c:v>-8</c:v>
                </c:pt>
                <c:pt idx="1">
                  <c:v>-6</c:v>
                </c:pt>
                <c:pt idx="2">
                  <c:v>-4</c:v>
                </c:pt>
                <c:pt idx="3">
                  <c:v>-2</c:v>
                </c:pt>
                <c:pt idx="4">
                  <c:v>0</c:v>
                </c:pt>
                <c:pt idx="5">
                  <c:v>2</c:v>
                </c:pt>
                <c:pt idx="6">
                  <c:v>4</c:v>
                </c:pt>
                <c:pt idx="7">
                  <c:v>6</c:v>
                </c:pt>
                <c:pt idx="8">
                  <c:v>8</c:v>
                </c:pt>
                <c:pt idx="9">
                  <c:v>10</c:v>
                </c:pt>
                <c:pt idx="10">
                  <c:v>12</c:v>
                </c:pt>
              </c:numCache>
            </c:numRef>
          </c:xVal>
          <c:yVal>
            <c:numRef>
              <c:f>Graphs!$F$81:$F$91</c:f>
              <c:numCache>
                <c:formatCode>General</c:formatCode>
                <c:ptCount val="11"/>
                <c:pt idx="0">
                  <c:v>0.1</c:v>
                </c:pt>
                <c:pt idx="1">
                  <c:v>0.22</c:v>
                </c:pt>
                <c:pt idx="2">
                  <c:v>0.34</c:v>
                </c:pt>
                <c:pt idx="3">
                  <c:v>0.44500000000000001</c:v>
                </c:pt>
                <c:pt idx="4">
                  <c:v>0.55000000000000004</c:v>
                </c:pt>
                <c:pt idx="5">
                  <c:v>0.68</c:v>
                </c:pt>
                <c:pt idx="6">
                  <c:v>0.81</c:v>
                </c:pt>
                <c:pt idx="7">
                  <c:v>0.92</c:v>
                </c:pt>
                <c:pt idx="8">
                  <c:v>1.03</c:v>
                </c:pt>
                <c:pt idx="9">
                  <c:v>1.1599999999999999</c:v>
                </c:pt>
              </c:numCache>
            </c:numRef>
          </c:yVal>
          <c:smooth val="0"/>
          <c:extLst>
            <c:ext xmlns:c16="http://schemas.microsoft.com/office/drawing/2014/chart" uri="{C3380CC4-5D6E-409C-BE32-E72D297353CC}">
              <c16:uniqueId val="{00000004-D600-499F-B95F-ECDEA718E05F}"/>
            </c:ext>
          </c:extLst>
        </c:ser>
        <c:ser>
          <c:idx val="5"/>
          <c:order val="5"/>
          <c:tx>
            <c:strRef>
              <c:f>Graphs!$G$80</c:f>
              <c:strCache>
                <c:ptCount val="1"/>
                <c:pt idx="0">
                  <c:v>0.667</c:v>
                </c:pt>
              </c:strCache>
            </c:strRef>
          </c:tx>
          <c:xVal>
            <c:numRef>
              <c:f>Graphs!$A$81:$A$91</c:f>
              <c:numCache>
                <c:formatCode>General</c:formatCode>
                <c:ptCount val="11"/>
                <c:pt idx="0">
                  <c:v>-8</c:v>
                </c:pt>
                <c:pt idx="1">
                  <c:v>-6</c:v>
                </c:pt>
                <c:pt idx="2">
                  <c:v>-4</c:v>
                </c:pt>
                <c:pt idx="3">
                  <c:v>-2</c:v>
                </c:pt>
                <c:pt idx="4">
                  <c:v>0</c:v>
                </c:pt>
                <c:pt idx="5">
                  <c:v>2</c:v>
                </c:pt>
                <c:pt idx="6">
                  <c:v>4</c:v>
                </c:pt>
                <c:pt idx="7">
                  <c:v>6</c:v>
                </c:pt>
                <c:pt idx="8">
                  <c:v>8</c:v>
                </c:pt>
                <c:pt idx="9">
                  <c:v>10</c:v>
                </c:pt>
                <c:pt idx="10">
                  <c:v>12</c:v>
                </c:pt>
              </c:numCache>
            </c:numRef>
          </c:xVal>
          <c:yVal>
            <c:numRef>
              <c:f>Graphs!$G$81:$G$91</c:f>
              <c:numCache>
                <c:formatCode>General</c:formatCode>
                <c:ptCount val="11"/>
                <c:pt idx="0">
                  <c:v>0.10500000000000001</c:v>
                </c:pt>
                <c:pt idx="1">
                  <c:v>0.22500000000000001</c:v>
                </c:pt>
                <c:pt idx="2">
                  <c:v>0.34500000000000003</c:v>
                </c:pt>
                <c:pt idx="3">
                  <c:v>0.45</c:v>
                </c:pt>
                <c:pt idx="4">
                  <c:v>0.55500000000000005</c:v>
                </c:pt>
              </c:numCache>
            </c:numRef>
          </c:yVal>
          <c:smooth val="0"/>
          <c:extLst>
            <c:ext xmlns:c16="http://schemas.microsoft.com/office/drawing/2014/chart" uri="{C3380CC4-5D6E-409C-BE32-E72D297353CC}">
              <c16:uniqueId val="{00000005-D600-499F-B95F-ECDEA718E05F}"/>
            </c:ext>
          </c:extLst>
        </c:ser>
        <c:ser>
          <c:idx val="6"/>
          <c:order val="6"/>
          <c:tx>
            <c:strRef>
              <c:f>Graphs!$H$80</c:f>
              <c:strCache>
                <c:ptCount val="1"/>
                <c:pt idx="0">
                  <c:v>0.834</c:v>
                </c:pt>
              </c:strCache>
            </c:strRef>
          </c:tx>
          <c:xVal>
            <c:numRef>
              <c:f>Graphs!$A$81:$A$91</c:f>
              <c:numCache>
                <c:formatCode>General</c:formatCode>
                <c:ptCount val="11"/>
                <c:pt idx="0">
                  <c:v>-8</c:v>
                </c:pt>
                <c:pt idx="1">
                  <c:v>-6</c:v>
                </c:pt>
                <c:pt idx="2">
                  <c:v>-4</c:v>
                </c:pt>
                <c:pt idx="3">
                  <c:v>-2</c:v>
                </c:pt>
                <c:pt idx="4">
                  <c:v>0</c:v>
                </c:pt>
                <c:pt idx="5">
                  <c:v>2</c:v>
                </c:pt>
                <c:pt idx="6">
                  <c:v>4</c:v>
                </c:pt>
                <c:pt idx="7">
                  <c:v>6</c:v>
                </c:pt>
                <c:pt idx="8">
                  <c:v>8</c:v>
                </c:pt>
                <c:pt idx="9">
                  <c:v>10</c:v>
                </c:pt>
                <c:pt idx="10">
                  <c:v>12</c:v>
                </c:pt>
              </c:numCache>
            </c:numRef>
          </c:xVal>
          <c:yVal>
            <c:numRef>
              <c:f>Graphs!$H$81:$H$91</c:f>
              <c:numCache>
                <c:formatCode>General</c:formatCode>
                <c:ptCount val="11"/>
              </c:numCache>
            </c:numRef>
          </c:yVal>
          <c:smooth val="0"/>
          <c:extLst>
            <c:ext xmlns:c16="http://schemas.microsoft.com/office/drawing/2014/chart" uri="{C3380CC4-5D6E-409C-BE32-E72D297353CC}">
              <c16:uniqueId val="{00000006-D600-499F-B95F-ECDEA718E05F}"/>
            </c:ext>
          </c:extLst>
        </c:ser>
        <c:ser>
          <c:idx val="7"/>
          <c:order val="7"/>
          <c:tx>
            <c:strRef>
              <c:f>Graphs!$I$80</c:f>
              <c:strCache>
                <c:ptCount val="1"/>
                <c:pt idx="0">
                  <c:v>1</c:v>
                </c:pt>
              </c:strCache>
            </c:strRef>
          </c:tx>
          <c:xVal>
            <c:numRef>
              <c:f>Graphs!$A$81:$A$91</c:f>
              <c:numCache>
                <c:formatCode>General</c:formatCode>
                <c:ptCount val="11"/>
                <c:pt idx="0">
                  <c:v>-8</c:v>
                </c:pt>
                <c:pt idx="1">
                  <c:v>-6</c:v>
                </c:pt>
                <c:pt idx="2">
                  <c:v>-4</c:v>
                </c:pt>
                <c:pt idx="3">
                  <c:v>-2</c:v>
                </c:pt>
                <c:pt idx="4">
                  <c:v>0</c:v>
                </c:pt>
                <c:pt idx="5">
                  <c:v>2</c:v>
                </c:pt>
                <c:pt idx="6">
                  <c:v>4</c:v>
                </c:pt>
                <c:pt idx="7">
                  <c:v>6</c:v>
                </c:pt>
                <c:pt idx="8">
                  <c:v>8</c:v>
                </c:pt>
                <c:pt idx="9">
                  <c:v>10</c:v>
                </c:pt>
                <c:pt idx="10">
                  <c:v>12</c:v>
                </c:pt>
              </c:numCache>
            </c:numRef>
          </c:xVal>
          <c:yVal>
            <c:numRef>
              <c:f>Graphs!$I$81:$I$91</c:f>
              <c:numCache>
                <c:formatCode>General</c:formatCode>
                <c:ptCount val="11"/>
              </c:numCache>
            </c:numRef>
          </c:yVal>
          <c:smooth val="0"/>
          <c:extLst>
            <c:ext xmlns:c16="http://schemas.microsoft.com/office/drawing/2014/chart" uri="{C3380CC4-5D6E-409C-BE32-E72D297353CC}">
              <c16:uniqueId val="{00000007-D600-499F-B95F-ECDEA718E05F}"/>
            </c:ext>
          </c:extLst>
        </c:ser>
        <c:ser>
          <c:idx val="8"/>
          <c:order val="8"/>
          <c:tx>
            <c:strRef>
              <c:f>Graphs!$J$80</c:f>
              <c:strCache>
                <c:ptCount val="1"/>
                <c:pt idx="0">
                  <c:v>inf</c:v>
                </c:pt>
              </c:strCache>
            </c:strRef>
          </c:tx>
          <c:trendline>
            <c:trendlineType val="linear"/>
            <c:dispRSqr val="0"/>
            <c:dispEq val="1"/>
            <c:trendlineLbl>
              <c:layout>
                <c:manualLayout>
                  <c:x val="0.27169682563290692"/>
                  <c:y val="6.5662881196832546E-3"/>
                </c:manualLayout>
              </c:layout>
              <c:numFmt formatCode="General" sourceLinked="0"/>
            </c:trendlineLbl>
          </c:trendline>
          <c:xVal>
            <c:numRef>
              <c:f>Graphs!$A$81:$A$91</c:f>
              <c:numCache>
                <c:formatCode>General</c:formatCode>
                <c:ptCount val="11"/>
                <c:pt idx="0">
                  <c:v>-8</c:v>
                </c:pt>
                <c:pt idx="1">
                  <c:v>-6</c:v>
                </c:pt>
                <c:pt idx="2">
                  <c:v>-4</c:v>
                </c:pt>
                <c:pt idx="3">
                  <c:v>-2</c:v>
                </c:pt>
                <c:pt idx="4">
                  <c:v>0</c:v>
                </c:pt>
                <c:pt idx="5">
                  <c:v>2</c:v>
                </c:pt>
                <c:pt idx="6">
                  <c:v>4</c:v>
                </c:pt>
                <c:pt idx="7">
                  <c:v>6</c:v>
                </c:pt>
                <c:pt idx="8">
                  <c:v>8</c:v>
                </c:pt>
                <c:pt idx="9">
                  <c:v>10</c:v>
                </c:pt>
                <c:pt idx="10">
                  <c:v>12</c:v>
                </c:pt>
              </c:numCache>
            </c:numRef>
          </c:xVal>
          <c:yVal>
            <c:numRef>
              <c:f>Graphs!$J$81:$J$91</c:f>
              <c:numCache>
                <c:formatCode>General</c:formatCode>
                <c:ptCount val="11"/>
                <c:pt idx="0">
                  <c:v>0.14000000000000001</c:v>
                </c:pt>
                <c:pt idx="1">
                  <c:v>0.23</c:v>
                </c:pt>
                <c:pt idx="2">
                  <c:v>0.33</c:v>
                </c:pt>
                <c:pt idx="3">
                  <c:v>0.43</c:v>
                </c:pt>
                <c:pt idx="4">
                  <c:v>0.54</c:v>
                </c:pt>
                <c:pt idx="5">
                  <c:v>0.64</c:v>
                </c:pt>
                <c:pt idx="6">
                  <c:v>0.75</c:v>
                </c:pt>
                <c:pt idx="7">
                  <c:v>0.84</c:v>
                </c:pt>
                <c:pt idx="8">
                  <c:v>0.96</c:v>
                </c:pt>
                <c:pt idx="9">
                  <c:v>1.05</c:v>
                </c:pt>
                <c:pt idx="10">
                  <c:v>1.1399999999999999</c:v>
                </c:pt>
              </c:numCache>
            </c:numRef>
          </c:yVal>
          <c:smooth val="0"/>
          <c:extLst>
            <c:ext xmlns:c16="http://schemas.microsoft.com/office/drawing/2014/chart" uri="{C3380CC4-5D6E-409C-BE32-E72D297353CC}">
              <c16:uniqueId val="{00000008-D600-499F-B95F-ECDEA718E05F}"/>
            </c:ext>
          </c:extLst>
        </c:ser>
        <c:dLbls>
          <c:showLegendKey val="0"/>
          <c:showVal val="0"/>
          <c:showCatName val="0"/>
          <c:showSerName val="0"/>
          <c:showPercent val="0"/>
          <c:showBubbleSize val="0"/>
        </c:dLbls>
        <c:axId val="576283808"/>
        <c:axId val="576284200"/>
      </c:scatterChart>
      <c:valAx>
        <c:axId val="576283808"/>
        <c:scaling>
          <c:orientation val="minMax"/>
        </c:scaling>
        <c:delete val="0"/>
        <c:axPos val="b"/>
        <c:title>
          <c:tx>
            <c:rich>
              <a:bodyPr/>
              <a:lstStyle/>
              <a:p>
                <a:pPr>
                  <a:defRPr/>
                </a:pPr>
                <a:r>
                  <a:rPr lang="en-US"/>
                  <a:t>Angle of Attack</a:t>
                </a:r>
              </a:p>
            </c:rich>
          </c:tx>
          <c:overlay val="0"/>
        </c:title>
        <c:numFmt formatCode="General" sourceLinked="1"/>
        <c:majorTickMark val="out"/>
        <c:minorTickMark val="none"/>
        <c:tickLblPos val="nextTo"/>
        <c:crossAx val="576284200"/>
        <c:crosses val="autoZero"/>
        <c:crossBetween val="midCat"/>
      </c:valAx>
      <c:valAx>
        <c:axId val="576284200"/>
        <c:scaling>
          <c:orientation val="minMax"/>
        </c:scaling>
        <c:delete val="0"/>
        <c:axPos val="l"/>
        <c:majorGridlines/>
        <c:title>
          <c:tx>
            <c:rich>
              <a:bodyPr rot="-5400000" vert="horz"/>
              <a:lstStyle/>
              <a:p>
                <a:pPr>
                  <a:defRPr/>
                </a:pPr>
                <a:r>
                  <a:rPr lang="en-US"/>
                  <a:t>Coefficient of Lift</a:t>
                </a:r>
              </a:p>
            </c:rich>
          </c:tx>
          <c:overlay val="0"/>
        </c:title>
        <c:numFmt formatCode="General" sourceLinked="1"/>
        <c:majorTickMark val="out"/>
        <c:minorTickMark val="none"/>
        <c:tickLblPos val="nextTo"/>
        <c:crossAx val="576283808"/>
        <c:crosses val="autoZero"/>
        <c:crossBetween val="midCat"/>
      </c:valAx>
      <c:spPr>
        <a:noFill/>
      </c:spPr>
    </c:plotArea>
    <c:legend>
      <c:legendPos val="r"/>
      <c:overlay val="0"/>
    </c:legend>
    <c:plotVisOnly val="1"/>
    <c:dispBlanksAs val="gap"/>
    <c:showDLblsOverMax val="0"/>
  </c:chart>
  <c:spPr>
    <a:noFill/>
  </c:spPr>
  <c:printSettings>
    <c:headerFooter/>
    <c:pageMargins b="0.750000000000001" l="0.70000000000000062" r="0.70000000000000062" t="0.75000000000000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Graphs!$B$110</c:f>
              <c:strCache>
                <c:ptCount val="1"/>
                <c:pt idx="0">
                  <c:v>-4</c:v>
                </c:pt>
              </c:strCache>
            </c:strRef>
          </c:tx>
          <c:marker>
            <c:symbol val="none"/>
          </c:marker>
          <c:xVal>
            <c:numRef>
              <c:f>Graphs!$A$111:$A$116</c:f>
              <c:numCache>
                <c:formatCode>General</c:formatCode>
                <c:ptCount val="6"/>
                <c:pt idx="0">
                  <c:v>4.2000000000000003E-2</c:v>
                </c:pt>
                <c:pt idx="1">
                  <c:v>8.3000000000000004E-2</c:v>
                </c:pt>
                <c:pt idx="2">
                  <c:v>0.16700000000000001</c:v>
                </c:pt>
                <c:pt idx="3">
                  <c:v>0.33300000000000002</c:v>
                </c:pt>
                <c:pt idx="4">
                  <c:v>0.5</c:v>
                </c:pt>
                <c:pt idx="5">
                  <c:v>1000</c:v>
                </c:pt>
              </c:numCache>
            </c:numRef>
          </c:xVal>
          <c:yVal>
            <c:numRef>
              <c:f>Graphs!$B$111:$B$116</c:f>
              <c:numCache>
                <c:formatCode>General</c:formatCode>
                <c:ptCount val="6"/>
                <c:pt idx="0">
                  <c:v>-7.1500000000000008E-2</c:v>
                </c:pt>
                <c:pt idx="1">
                  <c:v>8.4199999999999942E-2</c:v>
                </c:pt>
                <c:pt idx="2">
                  <c:v>0.22750000000000004</c:v>
                </c:pt>
                <c:pt idx="3">
                  <c:v>0.307</c:v>
                </c:pt>
                <c:pt idx="4">
                  <c:v>0.33249999999999996</c:v>
                </c:pt>
                <c:pt idx="5">
                  <c:v>0.33550000000000002</c:v>
                </c:pt>
              </c:numCache>
            </c:numRef>
          </c:yVal>
          <c:smooth val="0"/>
          <c:extLst>
            <c:ext xmlns:c16="http://schemas.microsoft.com/office/drawing/2014/chart" uri="{C3380CC4-5D6E-409C-BE32-E72D297353CC}">
              <c16:uniqueId val="{00000000-E645-4148-91C4-7F28CDC35F1A}"/>
            </c:ext>
          </c:extLst>
        </c:ser>
        <c:ser>
          <c:idx val="1"/>
          <c:order val="1"/>
          <c:tx>
            <c:strRef>
              <c:f>Graphs!$C$110</c:f>
              <c:strCache>
                <c:ptCount val="1"/>
                <c:pt idx="0">
                  <c:v>-2</c:v>
                </c:pt>
              </c:strCache>
            </c:strRef>
          </c:tx>
          <c:marker>
            <c:symbol val="none"/>
          </c:marker>
          <c:xVal>
            <c:numRef>
              <c:f>Graphs!$A$111:$A$116</c:f>
              <c:numCache>
                <c:formatCode>General</c:formatCode>
                <c:ptCount val="6"/>
                <c:pt idx="0">
                  <c:v>4.2000000000000003E-2</c:v>
                </c:pt>
                <c:pt idx="1">
                  <c:v>8.3000000000000004E-2</c:v>
                </c:pt>
                <c:pt idx="2">
                  <c:v>0.16700000000000001</c:v>
                </c:pt>
                <c:pt idx="3">
                  <c:v>0.33300000000000002</c:v>
                </c:pt>
                <c:pt idx="4">
                  <c:v>0.5</c:v>
                </c:pt>
                <c:pt idx="5">
                  <c:v>1000</c:v>
                </c:pt>
              </c:numCache>
            </c:numRef>
          </c:xVal>
          <c:yVal>
            <c:numRef>
              <c:f>Graphs!$C$111:$C$116</c:f>
              <c:numCache>
                <c:formatCode>General</c:formatCode>
                <c:ptCount val="6"/>
                <c:pt idx="0">
                  <c:v>0.18969999999999998</c:v>
                </c:pt>
                <c:pt idx="1">
                  <c:v>0.316</c:v>
                </c:pt>
                <c:pt idx="2">
                  <c:v>0.40150000000000002</c:v>
                </c:pt>
                <c:pt idx="3">
                  <c:v>0.43520000000000003</c:v>
                </c:pt>
                <c:pt idx="4">
                  <c:v>0.44969999999999999</c:v>
                </c:pt>
                <c:pt idx="5">
                  <c:v>0.43730000000000002</c:v>
                </c:pt>
              </c:numCache>
            </c:numRef>
          </c:yVal>
          <c:smooth val="0"/>
          <c:extLst>
            <c:ext xmlns:c16="http://schemas.microsoft.com/office/drawing/2014/chart" uri="{C3380CC4-5D6E-409C-BE32-E72D297353CC}">
              <c16:uniqueId val="{00000001-E645-4148-91C4-7F28CDC35F1A}"/>
            </c:ext>
          </c:extLst>
        </c:ser>
        <c:ser>
          <c:idx val="2"/>
          <c:order val="2"/>
          <c:tx>
            <c:strRef>
              <c:f>Graphs!$D$110</c:f>
              <c:strCache>
                <c:ptCount val="1"/>
                <c:pt idx="0">
                  <c:v>0</c:v>
                </c:pt>
              </c:strCache>
            </c:strRef>
          </c:tx>
          <c:marker>
            <c:symbol val="none"/>
          </c:marker>
          <c:xVal>
            <c:numRef>
              <c:f>Graphs!$A$111:$A$116</c:f>
              <c:numCache>
                <c:formatCode>General</c:formatCode>
                <c:ptCount val="6"/>
                <c:pt idx="0">
                  <c:v>4.2000000000000003E-2</c:v>
                </c:pt>
                <c:pt idx="1">
                  <c:v>8.3000000000000004E-2</c:v>
                </c:pt>
                <c:pt idx="2">
                  <c:v>0.16700000000000001</c:v>
                </c:pt>
                <c:pt idx="3">
                  <c:v>0.33300000000000002</c:v>
                </c:pt>
                <c:pt idx="4">
                  <c:v>0.5</c:v>
                </c:pt>
                <c:pt idx="5">
                  <c:v>1000</c:v>
                </c:pt>
              </c:numCache>
            </c:numRef>
          </c:xVal>
          <c:yVal>
            <c:numRef>
              <c:f>Graphs!$D$111:$D$116</c:f>
              <c:numCache>
                <c:formatCode>General</c:formatCode>
                <c:ptCount val="6"/>
                <c:pt idx="0">
                  <c:v>0.57489999999999997</c:v>
                </c:pt>
                <c:pt idx="1">
                  <c:v>0.56859999999999999</c:v>
                </c:pt>
                <c:pt idx="2">
                  <c:v>0.57550000000000001</c:v>
                </c:pt>
                <c:pt idx="3">
                  <c:v>0.56340000000000001</c:v>
                </c:pt>
                <c:pt idx="4">
                  <c:v>0.56689999999999996</c:v>
                </c:pt>
                <c:pt idx="5">
                  <c:v>0.53910000000000002</c:v>
                </c:pt>
              </c:numCache>
            </c:numRef>
          </c:yVal>
          <c:smooth val="0"/>
          <c:extLst>
            <c:ext xmlns:c16="http://schemas.microsoft.com/office/drawing/2014/chart" uri="{C3380CC4-5D6E-409C-BE32-E72D297353CC}">
              <c16:uniqueId val="{00000002-E645-4148-91C4-7F28CDC35F1A}"/>
            </c:ext>
          </c:extLst>
        </c:ser>
        <c:ser>
          <c:idx val="3"/>
          <c:order val="3"/>
          <c:tx>
            <c:strRef>
              <c:f>Graphs!$E$110</c:f>
              <c:strCache>
                <c:ptCount val="1"/>
                <c:pt idx="0">
                  <c:v>2</c:v>
                </c:pt>
              </c:strCache>
            </c:strRef>
          </c:tx>
          <c:marker>
            <c:symbol val="none"/>
          </c:marker>
          <c:xVal>
            <c:numRef>
              <c:f>Graphs!$A$111:$A$116</c:f>
              <c:numCache>
                <c:formatCode>General</c:formatCode>
                <c:ptCount val="6"/>
                <c:pt idx="0">
                  <c:v>4.2000000000000003E-2</c:v>
                </c:pt>
                <c:pt idx="1">
                  <c:v>8.3000000000000004E-2</c:v>
                </c:pt>
                <c:pt idx="2">
                  <c:v>0.16700000000000001</c:v>
                </c:pt>
                <c:pt idx="3">
                  <c:v>0.33300000000000002</c:v>
                </c:pt>
                <c:pt idx="4">
                  <c:v>0.5</c:v>
                </c:pt>
                <c:pt idx="5">
                  <c:v>1000</c:v>
                </c:pt>
              </c:numCache>
            </c:numRef>
          </c:xVal>
          <c:yVal>
            <c:numRef>
              <c:f>Graphs!$E$111:$E$116</c:f>
              <c:numCache>
                <c:formatCode>General</c:formatCode>
                <c:ptCount val="6"/>
                <c:pt idx="0">
                  <c:v>1.0840999999999998</c:v>
                </c:pt>
                <c:pt idx="1">
                  <c:v>0.84200000000000008</c:v>
                </c:pt>
                <c:pt idx="2">
                  <c:v>0.74950000000000006</c:v>
                </c:pt>
                <c:pt idx="3">
                  <c:v>0.69159999999999999</c:v>
                </c:pt>
                <c:pt idx="4">
                  <c:v>0.68409999999999993</c:v>
                </c:pt>
                <c:pt idx="5">
                  <c:v>0.64090000000000003</c:v>
                </c:pt>
              </c:numCache>
            </c:numRef>
          </c:yVal>
          <c:smooth val="0"/>
          <c:extLst>
            <c:ext xmlns:c16="http://schemas.microsoft.com/office/drawing/2014/chart" uri="{C3380CC4-5D6E-409C-BE32-E72D297353CC}">
              <c16:uniqueId val="{00000003-E645-4148-91C4-7F28CDC35F1A}"/>
            </c:ext>
          </c:extLst>
        </c:ser>
        <c:ser>
          <c:idx val="4"/>
          <c:order val="4"/>
          <c:tx>
            <c:strRef>
              <c:f>Graphs!$F$110</c:f>
              <c:strCache>
                <c:ptCount val="1"/>
                <c:pt idx="0">
                  <c:v>4</c:v>
                </c:pt>
              </c:strCache>
            </c:strRef>
          </c:tx>
          <c:marker>
            <c:symbol val="none"/>
          </c:marker>
          <c:xVal>
            <c:numRef>
              <c:f>Graphs!$A$111:$A$116</c:f>
              <c:numCache>
                <c:formatCode>General</c:formatCode>
                <c:ptCount val="6"/>
                <c:pt idx="0">
                  <c:v>4.2000000000000003E-2</c:v>
                </c:pt>
                <c:pt idx="1">
                  <c:v>8.3000000000000004E-2</c:v>
                </c:pt>
                <c:pt idx="2">
                  <c:v>0.16700000000000001</c:v>
                </c:pt>
                <c:pt idx="3">
                  <c:v>0.33300000000000002</c:v>
                </c:pt>
                <c:pt idx="4">
                  <c:v>0.5</c:v>
                </c:pt>
                <c:pt idx="5">
                  <c:v>1000</c:v>
                </c:pt>
              </c:numCache>
            </c:numRef>
          </c:xVal>
          <c:yVal>
            <c:numRef>
              <c:f>Graphs!$F$111:$F$116</c:f>
              <c:numCache>
                <c:formatCode>General</c:formatCode>
                <c:ptCount val="6"/>
                <c:pt idx="1">
                  <c:v>1.1362000000000001</c:v>
                </c:pt>
                <c:pt idx="2">
                  <c:v>0.92349999999999999</c:v>
                </c:pt>
                <c:pt idx="3">
                  <c:v>0.81980000000000008</c:v>
                </c:pt>
                <c:pt idx="4">
                  <c:v>0.8012999999999999</c:v>
                </c:pt>
                <c:pt idx="5">
                  <c:v>0.74270000000000003</c:v>
                </c:pt>
              </c:numCache>
            </c:numRef>
          </c:yVal>
          <c:smooth val="0"/>
          <c:extLst>
            <c:ext xmlns:c16="http://schemas.microsoft.com/office/drawing/2014/chart" uri="{C3380CC4-5D6E-409C-BE32-E72D297353CC}">
              <c16:uniqueId val="{00000004-E645-4148-91C4-7F28CDC35F1A}"/>
            </c:ext>
          </c:extLst>
        </c:ser>
        <c:ser>
          <c:idx val="5"/>
          <c:order val="5"/>
          <c:tx>
            <c:strRef>
              <c:f>Graphs!$G$110</c:f>
              <c:strCache>
                <c:ptCount val="1"/>
                <c:pt idx="0">
                  <c:v>6</c:v>
                </c:pt>
              </c:strCache>
            </c:strRef>
          </c:tx>
          <c:marker>
            <c:symbol val="none"/>
          </c:marker>
          <c:xVal>
            <c:numRef>
              <c:f>Graphs!$A$111:$A$116</c:f>
              <c:numCache>
                <c:formatCode>General</c:formatCode>
                <c:ptCount val="6"/>
                <c:pt idx="0">
                  <c:v>4.2000000000000003E-2</c:v>
                </c:pt>
                <c:pt idx="1">
                  <c:v>8.3000000000000004E-2</c:v>
                </c:pt>
                <c:pt idx="2">
                  <c:v>0.16700000000000001</c:v>
                </c:pt>
                <c:pt idx="3">
                  <c:v>0.33300000000000002</c:v>
                </c:pt>
                <c:pt idx="4">
                  <c:v>0.5</c:v>
                </c:pt>
                <c:pt idx="5">
                  <c:v>1000</c:v>
                </c:pt>
              </c:numCache>
            </c:numRef>
          </c:xVal>
          <c:yVal>
            <c:numRef>
              <c:f>Graphs!$G$111:$G$116</c:f>
              <c:numCache>
                <c:formatCode>General</c:formatCode>
                <c:ptCount val="6"/>
                <c:pt idx="2">
                  <c:v>1.0975000000000001</c:v>
                </c:pt>
                <c:pt idx="3">
                  <c:v>0.94800000000000006</c:v>
                </c:pt>
                <c:pt idx="4">
                  <c:v>0.91849999999999998</c:v>
                </c:pt>
                <c:pt idx="5">
                  <c:v>0.84450000000000003</c:v>
                </c:pt>
              </c:numCache>
            </c:numRef>
          </c:yVal>
          <c:smooth val="0"/>
          <c:extLst>
            <c:ext xmlns:c16="http://schemas.microsoft.com/office/drawing/2014/chart" uri="{C3380CC4-5D6E-409C-BE32-E72D297353CC}">
              <c16:uniqueId val="{00000005-E645-4148-91C4-7F28CDC35F1A}"/>
            </c:ext>
          </c:extLst>
        </c:ser>
        <c:ser>
          <c:idx val="6"/>
          <c:order val="6"/>
          <c:tx>
            <c:strRef>
              <c:f>Graphs!$H$110</c:f>
              <c:strCache>
                <c:ptCount val="1"/>
                <c:pt idx="0">
                  <c:v>8</c:v>
                </c:pt>
              </c:strCache>
            </c:strRef>
          </c:tx>
          <c:marker>
            <c:symbol val="none"/>
          </c:marker>
          <c:xVal>
            <c:numRef>
              <c:f>Graphs!$A$111:$A$116</c:f>
              <c:numCache>
                <c:formatCode>General</c:formatCode>
                <c:ptCount val="6"/>
                <c:pt idx="0">
                  <c:v>4.2000000000000003E-2</c:v>
                </c:pt>
                <c:pt idx="1">
                  <c:v>8.3000000000000004E-2</c:v>
                </c:pt>
                <c:pt idx="2">
                  <c:v>0.16700000000000001</c:v>
                </c:pt>
                <c:pt idx="3">
                  <c:v>0.33300000000000002</c:v>
                </c:pt>
                <c:pt idx="4">
                  <c:v>0.5</c:v>
                </c:pt>
                <c:pt idx="5">
                  <c:v>1000</c:v>
                </c:pt>
              </c:numCache>
            </c:numRef>
          </c:xVal>
          <c:yVal>
            <c:numRef>
              <c:f>Graphs!$H$111:$H$116</c:f>
              <c:numCache>
                <c:formatCode>General</c:formatCode>
                <c:ptCount val="6"/>
                <c:pt idx="2">
                  <c:v>1.2715000000000001</c:v>
                </c:pt>
                <c:pt idx="3">
                  <c:v>1.0762</c:v>
                </c:pt>
                <c:pt idx="4">
                  <c:v>1.0356999999999998</c:v>
                </c:pt>
                <c:pt idx="5">
                  <c:v>0.94630000000000003</c:v>
                </c:pt>
              </c:numCache>
            </c:numRef>
          </c:yVal>
          <c:smooth val="0"/>
          <c:extLst>
            <c:ext xmlns:c16="http://schemas.microsoft.com/office/drawing/2014/chart" uri="{C3380CC4-5D6E-409C-BE32-E72D297353CC}">
              <c16:uniqueId val="{00000006-E645-4148-91C4-7F28CDC35F1A}"/>
            </c:ext>
          </c:extLst>
        </c:ser>
        <c:ser>
          <c:idx val="7"/>
          <c:order val="7"/>
          <c:tx>
            <c:strRef>
              <c:f>Graphs!$I$110</c:f>
              <c:strCache>
                <c:ptCount val="1"/>
                <c:pt idx="0">
                  <c:v>10</c:v>
                </c:pt>
              </c:strCache>
            </c:strRef>
          </c:tx>
          <c:marker>
            <c:symbol val="none"/>
          </c:marker>
          <c:xVal>
            <c:numRef>
              <c:f>Graphs!$A$111:$A$116</c:f>
              <c:numCache>
                <c:formatCode>General</c:formatCode>
                <c:ptCount val="6"/>
                <c:pt idx="0">
                  <c:v>4.2000000000000003E-2</c:v>
                </c:pt>
                <c:pt idx="1">
                  <c:v>8.3000000000000004E-2</c:v>
                </c:pt>
                <c:pt idx="2">
                  <c:v>0.16700000000000001</c:v>
                </c:pt>
                <c:pt idx="3">
                  <c:v>0.33300000000000002</c:v>
                </c:pt>
                <c:pt idx="4">
                  <c:v>0.5</c:v>
                </c:pt>
                <c:pt idx="5">
                  <c:v>1000</c:v>
                </c:pt>
              </c:numCache>
            </c:numRef>
          </c:xVal>
          <c:yVal>
            <c:numRef>
              <c:f>Graphs!$I$111:$I$116</c:f>
              <c:numCache>
                <c:formatCode>General</c:formatCode>
                <c:ptCount val="6"/>
                <c:pt idx="2">
                  <c:v>1.4455</c:v>
                </c:pt>
                <c:pt idx="3">
                  <c:v>1.2044000000000001</c:v>
                </c:pt>
                <c:pt idx="4">
                  <c:v>1.1528999999999998</c:v>
                </c:pt>
                <c:pt idx="5">
                  <c:v>1.0481</c:v>
                </c:pt>
              </c:numCache>
            </c:numRef>
          </c:yVal>
          <c:smooth val="0"/>
          <c:extLst>
            <c:ext xmlns:c16="http://schemas.microsoft.com/office/drawing/2014/chart" uri="{C3380CC4-5D6E-409C-BE32-E72D297353CC}">
              <c16:uniqueId val="{00000007-E645-4148-91C4-7F28CDC35F1A}"/>
            </c:ext>
          </c:extLst>
        </c:ser>
        <c:dLbls>
          <c:showLegendKey val="0"/>
          <c:showVal val="0"/>
          <c:showCatName val="0"/>
          <c:showSerName val="0"/>
          <c:showPercent val="0"/>
          <c:showBubbleSize val="0"/>
        </c:dLbls>
        <c:axId val="576285768"/>
        <c:axId val="757005416"/>
      </c:scatterChart>
      <c:valAx>
        <c:axId val="576285768"/>
        <c:scaling>
          <c:logBase val="10"/>
          <c:orientation val="minMax"/>
          <c:max val="10"/>
        </c:scaling>
        <c:delete val="0"/>
        <c:axPos val="b"/>
        <c:minorGridlines/>
        <c:title>
          <c:tx>
            <c:rich>
              <a:bodyPr/>
              <a:lstStyle/>
              <a:p>
                <a:pPr>
                  <a:defRPr/>
                </a:pPr>
                <a:r>
                  <a:rPr lang="en-US"/>
                  <a:t>h/c</a:t>
                </a:r>
              </a:p>
            </c:rich>
          </c:tx>
          <c:overlay val="0"/>
        </c:title>
        <c:numFmt formatCode="General" sourceLinked="1"/>
        <c:majorTickMark val="out"/>
        <c:minorTickMark val="none"/>
        <c:tickLblPos val="nextTo"/>
        <c:crossAx val="757005416"/>
        <c:crosses val="autoZero"/>
        <c:crossBetween val="midCat"/>
      </c:valAx>
      <c:valAx>
        <c:axId val="757005416"/>
        <c:scaling>
          <c:orientation val="minMax"/>
        </c:scaling>
        <c:delete val="0"/>
        <c:axPos val="l"/>
        <c:majorGridlines/>
        <c:title>
          <c:tx>
            <c:rich>
              <a:bodyPr rot="-5400000" vert="horz"/>
              <a:lstStyle/>
              <a:p>
                <a:pPr>
                  <a:defRPr/>
                </a:pPr>
                <a:r>
                  <a:rPr lang="en-US"/>
                  <a:t>Coefficient of lift</a:t>
                </a:r>
              </a:p>
            </c:rich>
          </c:tx>
          <c:overlay val="0"/>
        </c:title>
        <c:numFmt formatCode="General" sourceLinked="1"/>
        <c:majorTickMark val="out"/>
        <c:minorTickMark val="none"/>
        <c:tickLblPos val="nextTo"/>
        <c:crossAx val="576285768"/>
        <c:crosses val="autoZero"/>
        <c:crossBetween val="midCat"/>
      </c:valAx>
    </c:plotArea>
    <c:legend>
      <c:legendPos val="r"/>
      <c:overlay val="0"/>
    </c:legend>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smoothMarker"/>
        <c:varyColors val="0"/>
        <c:ser>
          <c:idx val="0"/>
          <c:order val="0"/>
          <c:tx>
            <c:strRef>
              <c:f>Graphs!$C$123</c:f>
              <c:strCache>
                <c:ptCount val="1"/>
                <c:pt idx="0">
                  <c:v>σ</c:v>
                </c:pt>
              </c:strCache>
            </c:strRef>
          </c:tx>
          <c:marker>
            <c:symbol val="none"/>
          </c:marker>
          <c:xVal>
            <c:numRef>
              <c:f>Graphs!$A$124:$A$154</c:f>
              <c:numCache>
                <c:formatCode>General</c:formatCode>
                <c:ptCount val="31"/>
                <c:pt idx="0">
                  <c:v>0.1</c:v>
                </c:pt>
                <c:pt idx="1">
                  <c:v>0.2</c:v>
                </c:pt>
                <c:pt idx="2">
                  <c:v>0.3</c:v>
                </c:pt>
                <c:pt idx="3">
                  <c:v>0.4</c:v>
                </c:pt>
                <c:pt idx="4">
                  <c:v>0.5</c:v>
                </c:pt>
                <c:pt idx="5">
                  <c:v>0.6</c:v>
                </c:pt>
                <c:pt idx="6">
                  <c:v>0.7</c:v>
                </c:pt>
                <c:pt idx="7">
                  <c:v>0.8</c:v>
                </c:pt>
                <c:pt idx="8">
                  <c:v>0.9</c:v>
                </c:pt>
                <c:pt idx="9">
                  <c:v>1</c:v>
                </c:pt>
                <c:pt idx="10">
                  <c:v>1.1000000000000001</c:v>
                </c:pt>
                <c:pt idx="11">
                  <c:v>1.2</c:v>
                </c:pt>
                <c:pt idx="12">
                  <c:v>1.3</c:v>
                </c:pt>
                <c:pt idx="13">
                  <c:v>1.4</c:v>
                </c:pt>
                <c:pt idx="14">
                  <c:v>1.5</c:v>
                </c:pt>
                <c:pt idx="15">
                  <c:v>1.6</c:v>
                </c:pt>
                <c:pt idx="16">
                  <c:v>1.7</c:v>
                </c:pt>
                <c:pt idx="17">
                  <c:v>1.8</c:v>
                </c:pt>
                <c:pt idx="18">
                  <c:v>1.9</c:v>
                </c:pt>
                <c:pt idx="19">
                  <c:v>2</c:v>
                </c:pt>
                <c:pt idx="20">
                  <c:v>2.1</c:v>
                </c:pt>
                <c:pt idx="21">
                  <c:v>2.2000000000000002</c:v>
                </c:pt>
                <c:pt idx="22">
                  <c:v>2.2999999999999998</c:v>
                </c:pt>
                <c:pt idx="23">
                  <c:v>2.4</c:v>
                </c:pt>
                <c:pt idx="24">
                  <c:v>2.5</c:v>
                </c:pt>
                <c:pt idx="25">
                  <c:v>2.6</c:v>
                </c:pt>
                <c:pt idx="26">
                  <c:v>2.7</c:v>
                </c:pt>
                <c:pt idx="27">
                  <c:v>2.8</c:v>
                </c:pt>
                <c:pt idx="28">
                  <c:v>2.9</c:v>
                </c:pt>
                <c:pt idx="29">
                  <c:v>3</c:v>
                </c:pt>
                <c:pt idx="30">
                  <c:v>3.1</c:v>
                </c:pt>
              </c:numCache>
            </c:numRef>
          </c:xVal>
          <c:yVal>
            <c:numRef>
              <c:f>Graphs!$C$124:$C$155</c:f>
              <c:numCache>
                <c:formatCode>0.00</c:formatCode>
                <c:ptCount val="32"/>
                <c:pt idx="0">
                  <c:v>0.90467502850627146</c:v>
                </c:pt>
                <c:pt idx="1">
                  <c:v>0.8608315098468271</c:v>
                </c:pt>
                <c:pt idx="2">
                  <c:v>0.82039957939011565</c:v>
                </c:pt>
                <c:pt idx="3">
                  <c:v>0.78299595141700395</c:v>
                </c:pt>
                <c:pt idx="4">
                  <c:v>0.74829268292682927</c:v>
                </c:pt>
                <c:pt idx="5">
                  <c:v>0.7160075329566854</c:v>
                </c:pt>
                <c:pt idx="6">
                  <c:v>0.68589626933575976</c:v>
                </c:pt>
                <c:pt idx="7">
                  <c:v>0.65774647887323934</c:v>
                </c:pt>
                <c:pt idx="8">
                  <c:v>0.63137254901960782</c:v>
                </c:pt>
                <c:pt idx="9">
                  <c:v>0.60661157024793377</c:v>
                </c:pt>
                <c:pt idx="10">
                  <c:v>0.58331996792301521</c:v>
                </c:pt>
                <c:pt idx="11">
                  <c:v>0.56137071651090342</c:v>
                </c:pt>
                <c:pt idx="12">
                  <c:v>0.5406510219530658</c:v>
                </c:pt>
                <c:pt idx="13">
                  <c:v>0.52106038291605306</c:v>
                </c:pt>
                <c:pt idx="14">
                  <c:v>0.5025089605734766</c:v>
                </c:pt>
                <c:pt idx="15">
                  <c:v>0.48491620111731842</c:v>
                </c:pt>
                <c:pt idx="16">
                  <c:v>0.46820966643975492</c:v>
                </c:pt>
                <c:pt idx="17">
                  <c:v>0.45232403718459491</c:v>
                </c:pt>
                <c:pt idx="18">
                  <c:v>0.43720025923525602</c:v>
                </c:pt>
                <c:pt idx="19">
                  <c:v>0.42278481012658226</c:v>
                </c:pt>
                <c:pt idx="20">
                  <c:v>0.40902906617192325</c:v>
                </c:pt>
                <c:pt idx="21">
                  <c:v>0.39588875453446193</c:v>
                </c:pt>
                <c:pt idx="22">
                  <c:v>0.3833234772324069</c:v>
                </c:pt>
                <c:pt idx="23">
                  <c:v>0.37129629629629629</c:v>
                </c:pt>
                <c:pt idx="24">
                  <c:v>0.35977337110481589</c:v>
                </c:pt>
                <c:pt idx="25">
                  <c:v>0.348723640399556</c:v>
                </c:pt>
                <c:pt idx="26">
                  <c:v>0.33811854268624253</c:v>
                </c:pt>
                <c:pt idx="27">
                  <c:v>0.32793176972281451</c:v>
                </c:pt>
                <c:pt idx="28">
                  <c:v>0.31813904861474124</c:v>
                </c:pt>
                <c:pt idx="29">
                  <c:v>0.30871794871794872</c:v>
                </c:pt>
                <c:pt idx="30">
                  <c:v>0.29964771011575236</c:v>
                </c:pt>
                <c:pt idx="31">
                  <c:v>0.29090909090909089</c:v>
                </c:pt>
              </c:numCache>
            </c:numRef>
          </c:yVal>
          <c:smooth val="1"/>
          <c:extLst>
            <c:ext xmlns:c16="http://schemas.microsoft.com/office/drawing/2014/chart" uri="{C3380CC4-5D6E-409C-BE32-E72D297353CC}">
              <c16:uniqueId val="{00000000-ACFB-4FE8-97F9-1631F5745F9A}"/>
            </c:ext>
          </c:extLst>
        </c:ser>
        <c:dLbls>
          <c:showLegendKey val="0"/>
          <c:showVal val="0"/>
          <c:showCatName val="0"/>
          <c:showSerName val="0"/>
          <c:showPercent val="0"/>
          <c:showBubbleSize val="0"/>
        </c:dLbls>
        <c:axId val="756998360"/>
        <c:axId val="756998752"/>
      </c:scatterChart>
      <c:valAx>
        <c:axId val="756998360"/>
        <c:scaling>
          <c:orientation val="minMax"/>
        </c:scaling>
        <c:delete val="0"/>
        <c:axPos val="b"/>
        <c:title>
          <c:tx>
            <c:rich>
              <a:bodyPr/>
              <a:lstStyle/>
              <a:p>
                <a:pPr>
                  <a:defRPr/>
                </a:pPr>
                <a:r>
                  <a:rPr lang="en-US"/>
                  <a:t>height (ft)</a:t>
                </a:r>
              </a:p>
            </c:rich>
          </c:tx>
          <c:overlay val="0"/>
        </c:title>
        <c:numFmt formatCode="General" sourceLinked="1"/>
        <c:majorTickMark val="out"/>
        <c:minorTickMark val="none"/>
        <c:tickLblPos val="nextTo"/>
        <c:crossAx val="756998752"/>
        <c:crosses val="autoZero"/>
        <c:crossBetween val="midCat"/>
      </c:valAx>
      <c:valAx>
        <c:axId val="756998752"/>
        <c:scaling>
          <c:orientation val="minMax"/>
        </c:scaling>
        <c:delete val="0"/>
        <c:axPos val="l"/>
        <c:majorGridlines/>
        <c:numFmt formatCode="0.00" sourceLinked="1"/>
        <c:majorTickMark val="out"/>
        <c:minorTickMark val="none"/>
        <c:tickLblPos val="nextTo"/>
        <c:crossAx val="756998360"/>
        <c:crosses val="autoZero"/>
        <c:crossBetween val="midCat"/>
      </c:valAx>
    </c:plotArea>
    <c:legend>
      <c:legendPos val="r"/>
      <c:overlay val="0"/>
    </c:legend>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smoothMarker"/>
        <c:varyColors val="0"/>
        <c:ser>
          <c:idx val="0"/>
          <c:order val="0"/>
          <c:tx>
            <c:strRef>
              <c:f>Graphs!$D$123</c:f>
              <c:strCache>
                <c:ptCount val="1"/>
                <c:pt idx="0">
                  <c:v>1/(1-σ)</c:v>
                </c:pt>
              </c:strCache>
            </c:strRef>
          </c:tx>
          <c:marker>
            <c:symbol val="none"/>
          </c:marker>
          <c:xVal>
            <c:numRef>
              <c:f>Graphs!$A$124:$A$154</c:f>
              <c:numCache>
                <c:formatCode>General</c:formatCode>
                <c:ptCount val="31"/>
                <c:pt idx="0">
                  <c:v>0.1</c:v>
                </c:pt>
                <c:pt idx="1">
                  <c:v>0.2</c:v>
                </c:pt>
                <c:pt idx="2">
                  <c:v>0.3</c:v>
                </c:pt>
                <c:pt idx="3">
                  <c:v>0.4</c:v>
                </c:pt>
                <c:pt idx="4">
                  <c:v>0.5</c:v>
                </c:pt>
                <c:pt idx="5">
                  <c:v>0.6</c:v>
                </c:pt>
                <c:pt idx="6">
                  <c:v>0.7</c:v>
                </c:pt>
                <c:pt idx="7">
                  <c:v>0.8</c:v>
                </c:pt>
                <c:pt idx="8">
                  <c:v>0.9</c:v>
                </c:pt>
                <c:pt idx="9">
                  <c:v>1</c:v>
                </c:pt>
                <c:pt idx="10">
                  <c:v>1.1000000000000001</c:v>
                </c:pt>
                <c:pt idx="11">
                  <c:v>1.2</c:v>
                </c:pt>
                <c:pt idx="12">
                  <c:v>1.3</c:v>
                </c:pt>
                <c:pt idx="13">
                  <c:v>1.4</c:v>
                </c:pt>
                <c:pt idx="14">
                  <c:v>1.5</c:v>
                </c:pt>
                <c:pt idx="15">
                  <c:v>1.6</c:v>
                </c:pt>
                <c:pt idx="16">
                  <c:v>1.7</c:v>
                </c:pt>
                <c:pt idx="17">
                  <c:v>1.8</c:v>
                </c:pt>
                <c:pt idx="18">
                  <c:v>1.9</c:v>
                </c:pt>
                <c:pt idx="19">
                  <c:v>2</c:v>
                </c:pt>
                <c:pt idx="20">
                  <c:v>2.1</c:v>
                </c:pt>
                <c:pt idx="21">
                  <c:v>2.2000000000000002</c:v>
                </c:pt>
                <c:pt idx="22">
                  <c:v>2.2999999999999998</c:v>
                </c:pt>
                <c:pt idx="23">
                  <c:v>2.4</c:v>
                </c:pt>
                <c:pt idx="24">
                  <c:v>2.5</c:v>
                </c:pt>
                <c:pt idx="25">
                  <c:v>2.6</c:v>
                </c:pt>
                <c:pt idx="26">
                  <c:v>2.7</c:v>
                </c:pt>
                <c:pt idx="27">
                  <c:v>2.8</c:v>
                </c:pt>
                <c:pt idx="28">
                  <c:v>2.9</c:v>
                </c:pt>
                <c:pt idx="29">
                  <c:v>3</c:v>
                </c:pt>
                <c:pt idx="30">
                  <c:v>3.1</c:v>
                </c:pt>
              </c:numCache>
            </c:numRef>
          </c:xVal>
          <c:yVal>
            <c:numRef>
              <c:f>Graphs!$D$124:$D$155</c:f>
              <c:numCache>
                <c:formatCode>General</c:formatCode>
                <c:ptCount val="32"/>
                <c:pt idx="0">
                  <c:v>10.490430622009578</c:v>
                </c:pt>
                <c:pt idx="1">
                  <c:v>7.1855345911949673</c:v>
                </c:pt>
                <c:pt idx="2">
                  <c:v>5.5679156908665099</c:v>
                </c:pt>
                <c:pt idx="3">
                  <c:v>4.608208955223879</c:v>
                </c:pt>
                <c:pt idx="4">
                  <c:v>3.9728682170542635</c:v>
                </c:pt>
                <c:pt idx="5">
                  <c:v>3.5212201591511922</c:v>
                </c:pt>
                <c:pt idx="6">
                  <c:v>3.1836616454229429</c:v>
                </c:pt>
                <c:pt idx="7">
                  <c:v>2.9218106995884767</c:v>
                </c:pt>
                <c:pt idx="8">
                  <c:v>2.7127659574468082</c:v>
                </c:pt>
                <c:pt idx="9">
                  <c:v>2.5420168067226885</c:v>
                </c:pt>
                <c:pt idx="10">
                  <c:v>2.3999230177059276</c:v>
                </c:pt>
                <c:pt idx="11">
                  <c:v>2.2798295454545454</c:v>
                </c:pt>
                <c:pt idx="12">
                  <c:v>2.1769940672379695</c:v>
                </c:pt>
                <c:pt idx="13">
                  <c:v>2.0879458794587946</c:v>
                </c:pt>
                <c:pt idx="14">
                  <c:v>2.0100864553314115</c:v>
                </c:pt>
                <c:pt idx="15">
                  <c:v>1.9414316702819958</c:v>
                </c:pt>
                <c:pt idx="16">
                  <c:v>1.8804403481822836</c:v>
                </c:pt>
                <c:pt idx="17">
                  <c:v>1.8258971871968961</c:v>
                </c:pt>
                <c:pt idx="18">
                  <c:v>1.7768309534776601</c:v>
                </c:pt>
                <c:pt idx="19">
                  <c:v>1.7324561403508774</c:v>
                </c:pt>
                <c:pt idx="20">
                  <c:v>1.6921305985768103</c:v>
                </c:pt>
                <c:pt idx="21">
                  <c:v>1.6553242594075261</c:v>
                </c:pt>
                <c:pt idx="22">
                  <c:v>1.6215957038741851</c:v>
                </c:pt>
                <c:pt idx="23">
                  <c:v>1.5905743740795286</c:v>
                </c:pt>
                <c:pt idx="24">
                  <c:v>1.5619469026548674</c:v>
                </c:pt>
                <c:pt idx="25">
                  <c:v>1.5354464894342192</c:v>
                </c:pt>
                <c:pt idx="26">
                  <c:v>1.5108445612882024</c:v>
                </c:pt>
                <c:pt idx="27">
                  <c:v>1.4879441624365484</c:v>
                </c:pt>
                <c:pt idx="28">
                  <c:v>1.4665746703465197</c:v>
                </c:pt>
                <c:pt idx="29">
                  <c:v>1.4465875370919883</c:v>
                </c:pt>
                <c:pt idx="30">
                  <c:v>1.4278528312733545</c:v>
                </c:pt>
                <c:pt idx="31">
                  <c:v>1.4102564102564101</c:v>
                </c:pt>
              </c:numCache>
            </c:numRef>
          </c:yVal>
          <c:smooth val="1"/>
          <c:extLst>
            <c:ext xmlns:c16="http://schemas.microsoft.com/office/drawing/2014/chart" uri="{C3380CC4-5D6E-409C-BE32-E72D297353CC}">
              <c16:uniqueId val="{00000000-5515-4F70-AB9B-900672D290B1}"/>
            </c:ext>
          </c:extLst>
        </c:ser>
        <c:dLbls>
          <c:showLegendKey val="0"/>
          <c:showVal val="0"/>
          <c:showCatName val="0"/>
          <c:showSerName val="0"/>
          <c:showPercent val="0"/>
          <c:showBubbleSize val="0"/>
        </c:dLbls>
        <c:axId val="757002280"/>
        <c:axId val="757005808"/>
      </c:scatterChart>
      <c:valAx>
        <c:axId val="757002280"/>
        <c:scaling>
          <c:orientation val="minMax"/>
        </c:scaling>
        <c:delete val="0"/>
        <c:axPos val="b"/>
        <c:title>
          <c:tx>
            <c:rich>
              <a:bodyPr/>
              <a:lstStyle/>
              <a:p>
                <a:pPr>
                  <a:defRPr/>
                </a:pPr>
                <a:r>
                  <a:rPr lang="en-US"/>
                  <a:t>height (ft)</a:t>
                </a:r>
              </a:p>
            </c:rich>
          </c:tx>
          <c:overlay val="0"/>
        </c:title>
        <c:numFmt formatCode="General" sourceLinked="1"/>
        <c:majorTickMark val="out"/>
        <c:minorTickMark val="none"/>
        <c:tickLblPos val="nextTo"/>
        <c:crossAx val="757005808"/>
        <c:crosses val="autoZero"/>
        <c:crossBetween val="midCat"/>
      </c:valAx>
      <c:valAx>
        <c:axId val="757005808"/>
        <c:scaling>
          <c:orientation val="minMax"/>
        </c:scaling>
        <c:delete val="0"/>
        <c:axPos val="l"/>
        <c:majorGridlines/>
        <c:numFmt formatCode="General" sourceLinked="1"/>
        <c:majorTickMark val="out"/>
        <c:minorTickMark val="none"/>
        <c:tickLblPos val="nextTo"/>
        <c:crossAx val="757002280"/>
        <c:crosses val="autoZero"/>
        <c:crossBetween val="midCat"/>
      </c:valAx>
    </c:plotArea>
    <c:legend>
      <c:legendPos val="r"/>
      <c:overlay val="0"/>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3.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image" Target="../media/image4.png"/><Relationship Id="rId7" Type="http://schemas.openxmlformats.org/officeDocument/2006/relationships/image" Target="../media/image6.png"/><Relationship Id="rId12" Type="http://schemas.openxmlformats.org/officeDocument/2006/relationships/image" Target="../media/image2.gi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4.xml"/><Relationship Id="rId11" Type="http://schemas.openxmlformats.org/officeDocument/2006/relationships/hyperlink" Target="http://www.abbottaerospace.com/technical-library/donate/" TargetMode="External"/><Relationship Id="rId5" Type="http://schemas.openxmlformats.org/officeDocument/2006/relationships/chart" Target="../charts/chart3.xml"/><Relationship Id="rId10" Type="http://schemas.openxmlformats.org/officeDocument/2006/relationships/image" Target="../media/image1.png"/><Relationship Id="rId4" Type="http://schemas.openxmlformats.org/officeDocument/2006/relationships/image" Target="../media/image5.png"/><Relationship Id="rId9" Type="http://schemas.openxmlformats.org/officeDocument/2006/relationships/hyperlink" Target="http://www.abbottaerospace.com/"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en.wikipedia.org/wiki/File:Lift_curve.svg" TargetMode="External"/><Relationship Id="rId13" Type="http://schemas.openxmlformats.org/officeDocument/2006/relationships/image" Target="../media/image18.emf"/><Relationship Id="rId18" Type="http://schemas.openxmlformats.org/officeDocument/2006/relationships/chart" Target="../charts/chart10.xml"/><Relationship Id="rId3" Type="http://schemas.openxmlformats.org/officeDocument/2006/relationships/image" Target="../media/image9.jpeg"/><Relationship Id="rId7" Type="http://schemas.openxmlformats.org/officeDocument/2006/relationships/image" Target="../media/image13.png"/><Relationship Id="rId12" Type="http://schemas.openxmlformats.org/officeDocument/2006/relationships/image" Target="../media/image17.emf"/><Relationship Id="rId17" Type="http://schemas.openxmlformats.org/officeDocument/2006/relationships/chart" Target="../charts/chart9.xml"/><Relationship Id="rId2" Type="http://schemas.openxmlformats.org/officeDocument/2006/relationships/image" Target="../media/image8.emf"/><Relationship Id="rId16" Type="http://schemas.openxmlformats.org/officeDocument/2006/relationships/chart" Target="../charts/chart8.xml"/><Relationship Id="rId1" Type="http://schemas.openxmlformats.org/officeDocument/2006/relationships/image" Target="../media/image7.emf"/><Relationship Id="rId6" Type="http://schemas.openxmlformats.org/officeDocument/2006/relationships/image" Target="../media/image12.png"/><Relationship Id="rId11" Type="http://schemas.openxmlformats.org/officeDocument/2006/relationships/image" Target="../media/image16.png"/><Relationship Id="rId5" Type="http://schemas.openxmlformats.org/officeDocument/2006/relationships/image" Target="../media/image11.png"/><Relationship Id="rId15" Type="http://schemas.openxmlformats.org/officeDocument/2006/relationships/chart" Target="../charts/chart7.xml"/><Relationship Id="rId10" Type="http://schemas.openxmlformats.org/officeDocument/2006/relationships/image" Target="../media/image15.png"/><Relationship Id="rId4" Type="http://schemas.openxmlformats.org/officeDocument/2006/relationships/image" Target="../media/image10.png"/><Relationship Id="rId9" Type="http://schemas.openxmlformats.org/officeDocument/2006/relationships/image" Target="../media/image14.png"/><Relationship Id="rId14"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3" name="Group 2"/>
        <xdr:cNvGrpSpPr/>
      </xdr:nvGrpSpPr>
      <xdr:grpSpPr>
        <a:xfrm>
          <a:off x="40822" y="1421386"/>
          <a:ext cx="2562865" cy="642297"/>
          <a:chOff x="40822" y="1267641"/>
          <a:chExt cx="2570933" cy="630195"/>
        </a:xfrm>
      </xdr:grpSpPr>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3" name="Group 2"/>
        <xdr:cNvGrpSpPr/>
      </xdr:nvGrpSpPr>
      <xdr:grpSpPr>
        <a:xfrm>
          <a:off x="40822" y="1412421"/>
          <a:ext cx="2540453" cy="626929"/>
          <a:chOff x="40822" y="1267641"/>
          <a:chExt cx="2570933" cy="630195"/>
        </a:xfrm>
      </xdr:grpSpPr>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354493</xdr:colOff>
      <xdr:row>210</xdr:row>
      <xdr:rowOff>56297</xdr:rowOff>
    </xdr:from>
    <xdr:to>
      <xdr:col>7</xdr:col>
      <xdr:colOff>339583</xdr:colOff>
      <xdr:row>215</xdr:row>
      <xdr:rowOff>91079</xdr:rowOff>
    </xdr:to>
    <xdr:sp macro="" textlink="">
      <xdr:nvSpPr>
        <xdr:cNvPr id="5" name="Rounded Rectangle 4"/>
        <xdr:cNvSpPr/>
      </xdr:nvSpPr>
      <xdr:spPr>
        <a:xfrm rot="5400000">
          <a:off x="3294821" y="16604947"/>
          <a:ext cx="896174" cy="1823829"/>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3</xdr:col>
      <xdr:colOff>155714</xdr:colOff>
      <xdr:row>194</xdr:row>
      <xdr:rowOff>90283</xdr:rowOff>
    </xdr:from>
    <xdr:to>
      <xdr:col>8</xdr:col>
      <xdr:colOff>704021</xdr:colOff>
      <xdr:row>207</xdr:row>
      <xdr:rowOff>90283</xdr:rowOff>
    </xdr:to>
    <xdr:sp macro="" textlink="">
      <xdr:nvSpPr>
        <xdr:cNvPr id="6" name="Rounded Rectangle 5"/>
        <xdr:cNvSpPr/>
      </xdr:nvSpPr>
      <xdr:spPr>
        <a:xfrm rot="5400000">
          <a:off x="2077692" y="3445155"/>
          <a:ext cx="2105025" cy="4405932"/>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720585</xdr:colOff>
      <xdr:row>190</xdr:row>
      <xdr:rowOff>149087</xdr:rowOff>
    </xdr:from>
    <xdr:to>
      <xdr:col>7</xdr:col>
      <xdr:colOff>132521</xdr:colOff>
      <xdr:row>210</xdr:row>
      <xdr:rowOff>24848</xdr:rowOff>
    </xdr:to>
    <xdr:sp macro="" textlink="">
      <xdr:nvSpPr>
        <xdr:cNvPr id="7" name="Rounded Rectangle 6"/>
        <xdr:cNvSpPr/>
      </xdr:nvSpPr>
      <xdr:spPr>
        <a:xfrm>
          <a:off x="2263635" y="4006712"/>
          <a:ext cx="1726511" cy="3114261"/>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8</xdr:col>
      <xdr:colOff>696986</xdr:colOff>
      <xdr:row>185</xdr:row>
      <xdr:rowOff>9528</xdr:rowOff>
    </xdr:from>
    <xdr:to>
      <xdr:col>8</xdr:col>
      <xdr:colOff>696986</xdr:colOff>
      <xdr:row>195</xdr:row>
      <xdr:rowOff>8283</xdr:rowOff>
    </xdr:to>
    <xdr:cxnSp macro="">
      <xdr:nvCxnSpPr>
        <xdr:cNvPr id="8" name="Straight Connector 7"/>
        <xdr:cNvCxnSpPr/>
      </xdr:nvCxnSpPr>
      <xdr:spPr>
        <a:xfrm rot="5400000" flipH="1" flipV="1">
          <a:off x="4517133" y="3866531"/>
          <a:ext cx="16180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149087</xdr:colOff>
      <xdr:row>186</xdr:row>
      <xdr:rowOff>48885</xdr:rowOff>
    </xdr:from>
    <xdr:to>
      <xdr:col>8</xdr:col>
      <xdr:colOff>695739</xdr:colOff>
      <xdr:row>186</xdr:row>
      <xdr:rowOff>50473</xdr:rowOff>
    </xdr:to>
    <xdr:cxnSp macro="">
      <xdr:nvCxnSpPr>
        <xdr:cNvPr id="9" name="Straight Arrow Connector 8"/>
        <xdr:cNvCxnSpPr/>
      </xdr:nvCxnSpPr>
      <xdr:spPr>
        <a:xfrm>
          <a:off x="920612" y="3258810"/>
          <a:ext cx="4404277" cy="1588"/>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482203</xdr:colOff>
      <xdr:row>194</xdr:row>
      <xdr:rowOff>106897</xdr:rowOff>
    </xdr:from>
    <xdr:to>
      <xdr:col>3</xdr:col>
      <xdr:colOff>238125</xdr:colOff>
      <xdr:row>194</xdr:row>
      <xdr:rowOff>106897</xdr:rowOff>
    </xdr:to>
    <xdr:cxnSp macro="">
      <xdr:nvCxnSpPr>
        <xdr:cNvPr id="12" name="Straight Connector 11"/>
        <xdr:cNvCxnSpPr/>
      </xdr:nvCxnSpPr>
      <xdr:spPr>
        <a:xfrm rot="10800000">
          <a:off x="482203" y="4612222"/>
          <a:ext cx="52744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482203</xdr:colOff>
      <xdr:row>207</xdr:row>
      <xdr:rowOff>85415</xdr:rowOff>
    </xdr:from>
    <xdr:to>
      <xdr:col>3</xdr:col>
      <xdr:colOff>238125</xdr:colOff>
      <xdr:row>207</xdr:row>
      <xdr:rowOff>85415</xdr:rowOff>
    </xdr:to>
    <xdr:cxnSp macro="">
      <xdr:nvCxnSpPr>
        <xdr:cNvPr id="13" name="Straight Connector 12"/>
        <xdr:cNvCxnSpPr/>
      </xdr:nvCxnSpPr>
      <xdr:spPr>
        <a:xfrm rot="10800000">
          <a:off x="482203" y="6695765"/>
          <a:ext cx="52744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1309</xdr:colOff>
      <xdr:row>194</xdr:row>
      <xdr:rowOff>101160</xdr:rowOff>
    </xdr:from>
    <xdr:to>
      <xdr:col>5</xdr:col>
      <xdr:colOff>289892</xdr:colOff>
      <xdr:row>194</xdr:row>
      <xdr:rowOff>101160</xdr:rowOff>
    </xdr:to>
    <xdr:cxnSp macro="">
      <xdr:nvCxnSpPr>
        <xdr:cNvPr id="14" name="Straight Connector 13"/>
        <xdr:cNvCxnSpPr/>
      </xdr:nvCxnSpPr>
      <xdr:spPr>
        <a:xfrm rot="10800000">
          <a:off x="2315884" y="4606485"/>
          <a:ext cx="28858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191855</xdr:colOff>
      <xdr:row>194</xdr:row>
      <xdr:rowOff>100185</xdr:rowOff>
    </xdr:from>
    <xdr:to>
      <xdr:col>5</xdr:col>
      <xdr:colOff>193443</xdr:colOff>
      <xdr:row>207</xdr:row>
      <xdr:rowOff>84417</xdr:rowOff>
    </xdr:to>
    <xdr:cxnSp macro="">
      <xdr:nvCxnSpPr>
        <xdr:cNvPr id="15" name="Straight Arrow Connector 14"/>
        <xdr:cNvCxnSpPr/>
      </xdr:nvCxnSpPr>
      <xdr:spPr>
        <a:xfrm rot="5400000">
          <a:off x="1462595" y="5649345"/>
          <a:ext cx="2089257" cy="1588"/>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43297</xdr:colOff>
      <xdr:row>188</xdr:row>
      <xdr:rowOff>73602</xdr:rowOff>
    </xdr:from>
    <xdr:to>
      <xdr:col>6</xdr:col>
      <xdr:colOff>43297</xdr:colOff>
      <xdr:row>213</xdr:row>
      <xdr:rowOff>155863</xdr:rowOff>
    </xdr:to>
    <xdr:cxnSp macro="">
      <xdr:nvCxnSpPr>
        <xdr:cNvPr id="16" name="Straight Connector 15"/>
        <xdr:cNvCxnSpPr/>
      </xdr:nvCxnSpPr>
      <xdr:spPr>
        <a:xfrm rot="5400000">
          <a:off x="1064204" y="5672570"/>
          <a:ext cx="4130386" cy="0"/>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549498</xdr:colOff>
      <xdr:row>210</xdr:row>
      <xdr:rowOff>53577</xdr:rowOff>
    </xdr:from>
    <xdr:to>
      <xdr:col>6</xdr:col>
      <xdr:colOff>462788</xdr:colOff>
      <xdr:row>210</xdr:row>
      <xdr:rowOff>53577</xdr:rowOff>
    </xdr:to>
    <xdr:cxnSp macro="">
      <xdr:nvCxnSpPr>
        <xdr:cNvPr id="19" name="Straight Connector 18"/>
        <xdr:cNvCxnSpPr/>
      </xdr:nvCxnSpPr>
      <xdr:spPr>
        <a:xfrm rot="10800000">
          <a:off x="3638911" y="17066055"/>
          <a:ext cx="52620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1309</xdr:colOff>
      <xdr:row>207</xdr:row>
      <xdr:rowOff>84596</xdr:rowOff>
    </xdr:from>
    <xdr:to>
      <xdr:col>5</xdr:col>
      <xdr:colOff>289892</xdr:colOff>
      <xdr:row>207</xdr:row>
      <xdr:rowOff>84596</xdr:rowOff>
    </xdr:to>
    <xdr:cxnSp macro="">
      <xdr:nvCxnSpPr>
        <xdr:cNvPr id="22" name="Straight Connector 21"/>
        <xdr:cNvCxnSpPr/>
      </xdr:nvCxnSpPr>
      <xdr:spPr>
        <a:xfrm rot="10800000">
          <a:off x="2315884" y="6694946"/>
          <a:ext cx="28858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158675</xdr:colOff>
      <xdr:row>185</xdr:row>
      <xdr:rowOff>17811</xdr:rowOff>
    </xdr:from>
    <xdr:to>
      <xdr:col>3</xdr:col>
      <xdr:colOff>158675</xdr:colOff>
      <xdr:row>195</xdr:row>
      <xdr:rowOff>16566</xdr:rowOff>
    </xdr:to>
    <xdr:cxnSp macro="">
      <xdr:nvCxnSpPr>
        <xdr:cNvPr id="23" name="Straight Connector 22"/>
        <xdr:cNvCxnSpPr/>
      </xdr:nvCxnSpPr>
      <xdr:spPr>
        <a:xfrm rot="5400000" flipH="1" flipV="1">
          <a:off x="1178058" y="13633798"/>
          <a:ext cx="168840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527958</xdr:colOff>
      <xdr:row>190</xdr:row>
      <xdr:rowOff>16329</xdr:rowOff>
    </xdr:from>
    <xdr:to>
      <xdr:col>5</xdr:col>
      <xdr:colOff>181744</xdr:colOff>
      <xdr:row>194</xdr:row>
      <xdr:rowOff>120454</xdr:rowOff>
    </xdr:to>
    <xdr:cxnSp macro="">
      <xdr:nvCxnSpPr>
        <xdr:cNvPr id="24" name="Straight Connector 23"/>
        <xdr:cNvCxnSpPr/>
      </xdr:nvCxnSpPr>
      <xdr:spPr>
        <a:xfrm rot="16200000" flipV="1">
          <a:off x="1907751" y="4037211"/>
          <a:ext cx="751825" cy="4253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614269</xdr:colOff>
      <xdr:row>194</xdr:row>
      <xdr:rowOff>100185</xdr:rowOff>
    </xdr:from>
    <xdr:to>
      <xdr:col>2</xdr:col>
      <xdr:colOff>615857</xdr:colOff>
      <xdr:row>207</xdr:row>
      <xdr:rowOff>84417</xdr:rowOff>
    </xdr:to>
    <xdr:cxnSp macro="">
      <xdr:nvCxnSpPr>
        <xdr:cNvPr id="27" name="Straight Arrow Connector 26"/>
        <xdr:cNvCxnSpPr/>
      </xdr:nvCxnSpPr>
      <xdr:spPr>
        <a:xfrm rot="5400000">
          <a:off x="772034" y="15464029"/>
          <a:ext cx="2137710" cy="1588"/>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612912</xdr:colOff>
      <xdr:row>35</xdr:row>
      <xdr:rowOff>0</xdr:rowOff>
    </xdr:from>
    <xdr:to>
      <xdr:col>9</xdr:col>
      <xdr:colOff>612912</xdr:colOff>
      <xdr:row>58</xdr:row>
      <xdr:rowOff>0</xdr:rowOff>
    </xdr:to>
    <xdr:graphicFrame macro="">
      <xdr:nvGraphicFramePr>
        <xdr:cNvPr id="34" name="Chart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72</xdr:row>
      <xdr:rowOff>1</xdr:rowOff>
    </xdr:from>
    <xdr:to>
      <xdr:col>9</xdr:col>
      <xdr:colOff>91109</xdr:colOff>
      <xdr:row>98</xdr:row>
      <xdr:rowOff>132523</xdr:rowOff>
    </xdr:to>
    <xdr:graphicFrame macro="">
      <xdr:nvGraphicFramePr>
        <xdr:cNvPr id="35" name="Chart 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459798</xdr:colOff>
      <xdr:row>111</xdr:row>
      <xdr:rowOff>132521</xdr:rowOff>
    </xdr:from>
    <xdr:to>
      <xdr:col>5</xdr:col>
      <xdr:colOff>572330</xdr:colOff>
      <xdr:row>117</xdr:row>
      <xdr:rowOff>49695</xdr:rowOff>
    </xdr:to>
    <xdr:pic>
      <xdr:nvPicPr>
        <xdr:cNvPr id="11273" name="Picture 9"/>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blip>
        <a:srcRect/>
        <a:stretch>
          <a:fillRect/>
        </a:stretch>
      </xdr:blipFill>
      <xdr:spPr bwMode="auto">
        <a:xfrm>
          <a:off x="2323385" y="18818086"/>
          <a:ext cx="1338358" cy="911087"/>
        </a:xfrm>
        <a:prstGeom prst="rect">
          <a:avLst/>
        </a:prstGeom>
        <a:noFill/>
      </xdr:spPr>
    </xdr:pic>
    <xdr:clientData/>
  </xdr:twoCellAnchor>
  <xdr:twoCellAnchor>
    <xdr:from>
      <xdr:col>3</xdr:col>
      <xdr:colOff>372717</xdr:colOff>
      <xdr:row>126</xdr:row>
      <xdr:rowOff>91109</xdr:rowOff>
    </xdr:from>
    <xdr:to>
      <xdr:col>5</xdr:col>
      <xdr:colOff>458442</xdr:colOff>
      <xdr:row>130</xdr:row>
      <xdr:rowOff>91110</xdr:rowOff>
    </xdr:to>
    <xdr:pic>
      <xdr:nvPicPr>
        <xdr:cNvPr id="11276" name="Picture 12"/>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blip>
        <a:srcRect/>
        <a:stretch>
          <a:fillRect/>
        </a:stretch>
      </xdr:blipFill>
      <xdr:spPr bwMode="auto">
        <a:xfrm>
          <a:off x="2236304" y="21327718"/>
          <a:ext cx="1311551" cy="662609"/>
        </a:xfrm>
        <a:prstGeom prst="rect">
          <a:avLst/>
        </a:prstGeom>
        <a:noFill/>
      </xdr:spPr>
    </xdr:pic>
    <xdr:clientData/>
  </xdr:twoCellAnchor>
  <xdr:twoCellAnchor>
    <xdr:from>
      <xdr:col>1</xdr:col>
      <xdr:colOff>0</xdr:colOff>
      <xdr:row>134</xdr:row>
      <xdr:rowOff>0</xdr:rowOff>
    </xdr:from>
    <xdr:to>
      <xdr:col>10</xdr:col>
      <xdr:colOff>0</xdr:colOff>
      <xdr:row>151</xdr:row>
      <xdr:rowOff>0</xdr:rowOff>
    </xdr:to>
    <xdr:graphicFrame macro="">
      <xdr:nvGraphicFramePr>
        <xdr:cNvPr id="39" name="Chart 3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153</xdr:row>
      <xdr:rowOff>0</xdr:rowOff>
    </xdr:from>
    <xdr:to>
      <xdr:col>10</xdr:col>
      <xdr:colOff>0</xdr:colOff>
      <xdr:row>171</xdr:row>
      <xdr:rowOff>0</xdr:rowOff>
    </xdr:to>
    <xdr:graphicFrame macro="">
      <xdr:nvGraphicFramePr>
        <xdr:cNvPr id="40" name="Chart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605873</xdr:colOff>
      <xdr:row>242</xdr:row>
      <xdr:rowOff>56322</xdr:rowOff>
    </xdr:from>
    <xdr:to>
      <xdr:col>3</xdr:col>
      <xdr:colOff>497785</xdr:colOff>
      <xdr:row>243</xdr:row>
      <xdr:rowOff>136250</xdr:rowOff>
    </xdr:to>
    <xdr:pic>
      <xdr:nvPicPr>
        <xdr:cNvPr id="41" name="Picture 4" descr="&#10;L = \tfrac12\rho v^2 A C_L"/>
        <xdr:cNvPicPr>
          <a:picLocks noChangeAspect="1" noChangeArrowheads="1"/>
        </xdr:cNvPicPr>
      </xdr:nvPicPr>
      <xdr:blipFill>
        <a:blip xmlns:r="http://schemas.openxmlformats.org/officeDocument/2006/relationships" r:embed="rId7" cstate="print"/>
        <a:srcRect/>
        <a:stretch>
          <a:fillRect/>
        </a:stretch>
      </xdr:blipFill>
      <xdr:spPr bwMode="auto">
        <a:xfrm>
          <a:off x="1218786" y="41659865"/>
          <a:ext cx="1142586" cy="245580"/>
        </a:xfrm>
        <a:prstGeom prst="rect">
          <a:avLst/>
        </a:prstGeom>
        <a:noFill/>
      </xdr:spPr>
    </xdr:pic>
    <xdr:clientData/>
  </xdr:twoCellAnchor>
  <xdr:twoCellAnchor>
    <xdr:from>
      <xdr:col>1</xdr:col>
      <xdr:colOff>7794</xdr:colOff>
      <xdr:row>345</xdr:row>
      <xdr:rowOff>100853</xdr:rowOff>
    </xdr:from>
    <xdr:to>
      <xdr:col>10</xdr:col>
      <xdr:colOff>7794</xdr:colOff>
      <xdr:row>364</xdr:row>
      <xdr:rowOff>100853</xdr:rowOff>
    </xdr:to>
    <xdr:graphicFrame macro="">
      <xdr:nvGraphicFramePr>
        <xdr:cNvPr id="42" name="Chart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4</xdr:col>
      <xdr:colOff>197069</xdr:colOff>
      <xdr:row>346</xdr:row>
      <xdr:rowOff>137948</xdr:rowOff>
    </xdr:from>
    <xdr:ext cx="2187394" cy="239809"/>
    <xdr:sp macro="" textlink="">
      <xdr:nvSpPr>
        <xdr:cNvPr id="43" name="TextBox 42"/>
        <xdr:cNvSpPr txBox="1"/>
      </xdr:nvSpPr>
      <xdr:spPr>
        <a:xfrm>
          <a:off x="2667000" y="58713414"/>
          <a:ext cx="2187394"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Arial" pitchFamily="34" charset="0"/>
              <a:cs typeface="Arial" pitchFamily="34" charset="0"/>
            </a:rPr>
            <a:t>Manufacturers</a:t>
          </a:r>
          <a:r>
            <a:rPr lang="en-CA" sz="1000" baseline="0">
              <a:latin typeface="Arial" pitchFamily="34" charset="0"/>
              <a:cs typeface="Arial" pitchFamily="34" charset="0"/>
            </a:rPr>
            <a:t> Height/Speed Limits</a:t>
          </a:r>
          <a:endParaRPr lang="en-CA" sz="1000">
            <a:latin typeface="Arial" pitchFamily="34" charset="0"/>
            <a:cs typeface="Arial" pitchFamily="34" charset="0"/>
          </a:endParaRPr>
        </a:p>
      </xdr:txBody>
    </xdr:sp>
    <xdr:clientData/>
  </xdr:oneCellAnchor>
  <xdr:twoCellAnchor>
    <xdr:from>
      <xdr:col>4</xdr:col>
      <xdr:colOff>291703</xdr:colOff>
      <xdr:row>348</xdr:row>
      <xdr:rowOff>52554</xdr:rowOff>
    </xdr:from>
    <xdr:to>
      <xdr:col>5</xdr:col>
      <xdr:colOff>426984</xdr:colOff>
      <xdr:row>353</xdr:row>
      <xdr:rowOff>71439</xdr:rowOff>
    </xdr:to>
    <xdr:cxnSp macro="">
      <xdr:nvCxnSpPr>
        <xdr:cNvPr id="45" name="Straight Connector 44"/>
        <xdr:cNvCxnSpPr/>
      </xdr:nvCxnSpPr>
      <xdr:spPr>
        <a:xfrm rot="5400000">
          <a:off x="2710316" y="57933145"/>
          <a:ext cx="822556" cy="7424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40822</xdr:colOff>
      <xdr:row>335</xdr:row>
      <xdr:rowOff>40821</xdr:rowOff>
    </xdr:from>
    <xdr:to>
      <xdr:col>4</xdr:col>
      <xdr:colOff>66675</xdr:colOff>
      <xdr:row>338</xdr:row>
      <xdr:rowOff>145236</xdr:rowOff>
    </xdr:to>
    <xdr:grpSp>
      <xdr:nvGrpSpPr>
        <xdr:cNvPr id="36" name="Group 35"/>
        <xdr:cNvGrpSpPr/>
      </xdr:nvGrpSpPr>
      <xdr:grpSpPr>
        <a:xfrm>
          <a:off x="40822" y="60507762"/>
          <a:ext cx="2562865" cy="642298"/>
          <a:chOff x="40822" y="1267641"/>
          <a:chExt cx="2570933" cy="630195"/>
        </a:xfrm>
      </xdr:grpSpPr>
      <xdr:pic>
        <xdr:nvPicPr>
          <xdr:cNvPr id="38" name="Picture 37">
            <a:hlinkClick xmlns:r="http://schemas.openxmlformats.org/officeDocument/2006/relationships" r:id="rId9"/>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4" name="Picture 43" descr="PayPal - The safer, easier way to pay online!">
            <a:hlinkClick xmlns:r="http://schemas.openxmlformats.org/officeDocument/2006/relationships" r:id="rId11"/>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280</xdr:row>
      <xdr:rowOff>40821</xdr:rowOff>
    </xdr:from>
    <xdr:to>
      <xdr:col>4</xdr:col>
      <xdr:colOff>66675</xdr:colOff>
      <xdr:row>283</xdr:row>
      <xdr:rowOff>145236</xdr:rowOff>
    </xdr:to>
    <xdr:grpSp>
      <xdr:nvGrpSpPr>
        <xdr:cNvPr id="46" name="Group 45"/>
        <xdr:cNvGrpSpPr/>
      </xdr:nvGrpSpPr>
      <xdr:grpSpPr>
        <a:xfrm>
          <a:off x="40822" y="50610727"/>
          <a:ext cx="2562865" cy="642297"/>
          <a:chOff x="40822" y="1267641"/>
          <a:chExt cx="2570933" cy="630195"/>
        </a:xfrm>
      </xdr:grpSpPr>
      <xdr:pic>
        <xdr:nvPicPr>
          <xdr:cNvPr id="47" name="Picture 46">
            <a:hlinkClick xmlns:r="http://schemas.openxmlformats.org/officeDocument/2006/relationships" r:id="rId9"/>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8" name="Picture 47" descr="PayPal - The safer, easier way to pay online!">
            <a:hlinkClick xmlns:r="http://schemas.openxmlformats.org/officeDocument/2006/relationships" r:id="rId11"/>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226</xdr:row>
      <xdr:rowOff>40821</xdr:rowOff>
    </xdr:from>
    <xdr:to>
      <xdr:col>4</xdr:col>
      <xdr:colOff>66675</xdr:colOff>
      <xdr:row>229</xdr:row>
      <xdr:rowOff>145236</xdr:rowOff>
    </xdr:to>
    <xdr:grpSp>
      <xdr:nvGrpSpPr>
        <xdr:cNvPr id="49" name="Group 48"/>
        <xdr:cNvGrpSpPr/>
      </xdr:nvGrpSpPr>
      <xdr:grpSpPr>
        <a:xfrm>
          <a:off x="40822" y="40839197"/>
          <a:ext cx="2562865" cy="642298"/>
          <a:chOff x="40822" y="1267641"/>
          <a:chExt cx="2570933" cy="630195"/>
        </a:xfrm>
      </xdr:grpSpPr>
      <xdr:pic>
        <xdr:nvPicPr>
          <xdr:cNvPr id="50" name="Picture 49">
            <a:hlinkClick xmlns:r="http://schemas.openxmlformats.org/officeDocument/2006/relationships" r:id="rId9"/>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1" name="Picture 50" descr="PayPal - The safer, easier way to pay online!">
            <a:hlinkClick xmlns:r="http://schemas.openxmlformats.org/officeDocument/2006/relationships" r:id="rId11"/>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173</xdr:row>
      <xdr:rowOff>40821</xdr:rowOff>
    </xdr:from>
    <xdr:to>
      <xdr:col>4</xdr:col>
      <xdr:colOff>66675</xdr:colOff>
      <xdr:row>176</xdr:row>
      <xdr:rowOff>145236</xdr:rowOff>
    </xdr:to>
    <xdr:grpSp>
      <xdr:nvGrpSpPr>
        <xdr:cNvPr id="52" name="Group 51"/>
        <xdr:cNvGrpSpPr/>
      </xdr:nvGrpSpPr>
      <xdr:grpSpPr>
        <a:xfrm>
          <a:off x="40822" y="31273856"/>
          <a:ext cx="2562865" cy="642298"/>
          <a:chOff x="40822" y="1267641"/>
          <a:chExt cx="2570933" cy="630195"/>
        </a:xfrm>
      </xdr:grpSpPr>
      <xdr:pic>
        <xdr:nvPicPr>
          <xdr:cNvPr id="53" name="Picture 52">
            <a:hlinkClick xmlns:r="http://schemas.openxmlformats.org/officeDocument/2006/relationships" r:id="rId9"/>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4" name="Picture 53" descr="PayPal - The safer, easier way to pay online!">
            <a:hlinkClick xmlns:r="http://schemas.openxmlformats.org/officeDocument/2006/relationships" r:id="rId11"/>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118</xdr:row>
      <xdr:rowOff>40821</xdr:rowOff>
    </xdr:from>
    <xdr:to>
      <xdr:col>4</xdr:col>
      <xdr:colOff>66675</xdr:colOff>
      <xdr:row>121</xdr:row>
      <xdr:rowOff>145236</xdr:rowOff>
    </xdr:to>
    <xdr:grpSp>
      <xdr:nvGrpSpPr>
        <xdr:cNvPr id="55" name="Group 54"/>
        <xdr:cNvGrpSpPr/>
      </xdr:nvGrpSpPr>
      <xdr:grpSpPr>
        <a:xfrm>
          <a:off x="40822" y="21376821"/>
          <a:ext cx="2562865" cy="642297"/>
          <a:chOff x="40822" y="1267641"/>
          <a:chExt cx="2570933" cy="630195"/>
        </a:xfrm>
      </xdr:grpSpPr>
      <xdr:pic>
        <xdr:nvPicPr>
          <xdr:cNvPr id="56" name="Picture 55">
            <a:hlinkClick xmlns:r="http://schemas.openxmlformats.org/officeDocument/2006/relationships" r:id="rId9"/>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7" name="Picture 56" descr="PayPal - The safer, easier way to pay online!">
            <a:hlinkClick xmlns:r="http://schemas.openxmlformats.org/officeDocument/2006/relationships" r:id="rId11"/>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63</xdr:row>
      <xdr:rowOff>40821</xdr:rowOff>
    </xdr:from>
    <xdr:to>
      <xdr:col>4</xdr:col>
      <xdr:colOff>66675</xdr:colOff>
      <xdr:row>66</xdr:row>
      <xdr:rowOff>145236</xdr:rowOff>
    </xdr:to>
    <xdr:grpSp>
      <xdr:nvGrpSpPr>
        <xdr:cNvPr id="58" name="Group 57"/>
        <xdr:cNvGrpSpPr/>
      </xdr:nvGrpSpPr>
      <xdr:grpSpPr>
        <a:xfrm>
          <a:off x="40822" y="11479786"/>
          <a:ext cx="2562865" cy="642297"/>
          <a:chOff x="40822" y="1267641"/>
          <a:chExt cx="2570933" cy="630195"/>
        </a:xfrm>
      </xdr:grpSpPr>
      <xdr:pic>
        <xdr:nvPicPr>
          <xdr:cNvPr id="59" name="Picture 58">
            <a:hlinkClick xmlns:r="http://schemas.openxmlformats.org/officeDocument/2006/relationships" r:id="rId9"/>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0" name="Picture 59" descr="PayPal - The safer, easier way to pay online!">
            <a:hlinkClick xmlns:r="http://schemas.openxmlformats.org/officeDocument/2006/relationships" r:id="rId11"/>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7</xdr:row>
      <xdr:rowOff>40821</xdr:rowOff>
    </xdr:from>
    <xdr:to>
      <xdr:col>4</xdr:col>
      <xdr:colOff>66675</xdr:colOff>
      <xdr:row>10</xdr:row>
      <xdr:rowOff>145236</xdr:rowOff>
    </xdr:to>
    <xdr:grpSp>
      <xdr:nvGrpSpPr>
        <xdr:cNvPr id="61" name="Group 60"/>
        <xdr:cNvGrpSpPr/>
      </xdr:nvGrpSpPr>
      <xdr:grpSpPr>
        <a:xfrm>
          <a:off x="40822" y="1421386"/>
          <a:ext cx="2562865" cy="642297"/>
          <a:chOff x="40822" y="1267641"/>
          <a:chExt cx="2570933" cy="630195"/>
        </a:xfrm>
      </xdr:grpSpPr>
      <xdr:pic>
        <xdr:nvPicPr>
          <xdr:cNvPr id="62" name="Picture 61">
            <a:hlinkClick xmlns:r="http://schemas.openxmlformats.org/officeDocument/2006/relationships" r:id="rId9"/>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3" name="Picture 62" descr="PayPal - The safer, easier way to pay online!">
            <a:hlinkClick xmlns:r="http://schemas.openxmlformats.org/officeDocument/2006/relationships" r:id="rId11"/>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38100</xdr:colOff>
      <xdr:row>7</xdr:row>
      <xdr:rowOff>66675</xdr:rowOff>
    </xdr:from>
    <xdr:to>
      <xdr:col>17</xdr:col>
      <xdr:colOff>447675</xdr:colOff>
      <xdr:row>45</xdr:row>
      <xdr:rowOff>152400</xdr:rowOff>
    </xdr:to>
    <xdr:pic>
      <xdr:nvPicPr>
        <xdr:cNvPr id="921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866900" y="1200150"/>
          <a:ext cx="8943975" cy="6257925"/>
        </a:xfrm>
        <a:prstGeom prst="rect">
          <a:avLst/>
        </a:prstGeom>
        <a:noFill/>
      </xdr:spPr>
    </xdr:pic>
    <xdr:clientData/>
  </xdr:twoCellAnchor>
  <xdr:twoCellAnchor editAs="oneCell">
    <xdr:from>
      <xdr:col>30</xdr:col>
      <xdr:colOff>0</xdr:colOff>
      <xdr:row>4</xdr:row>
      <xdr:rowOff>0</xdr:rowOff>
    </xdr:from>
    <xdr:to>
      <xdr:col>37</xdr:col>
      <xdr:colOff>561975</xdr:colOff>
      <xdr:row>24</xdr:row>
      <xdr:rowOff>85725</xdr:rowOff>
    </xdr:to>
    <xdr:pic>
      <xdr:nvPicPr>
        <xdr:cNvPr id="921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0363200" y="647700"/>
          <a:ext cx="4829175" cy="3324225"/>
        </a:xfrm>
        <a:prstGeom prst="rect">
          <a:avLst/>
        </a:prstGeom>
        <a:noFill/>
      </xdr:spPr>
    </xdr:pic>
    <xdr:clientData/>
  </xdr:twoCellAnchor>
  <xdr:twoCellAnchor editAs="oneCell">
    <xdr:from>
      <xdr:col>29</xdr:col>
      <xdr:colOff>217715</xdr:colOff>
      <xdr:row>25</xdr:row>
      <xdr:rowOff>81642</xdr:rowOff>
    </xdr:from>
    <xdr:to>
      <xdr:col>41</xdr:col>
      <xdr:colOff>474889</xdr:colOff>
      <xdr:row>40</xdr:row>
      <xdr:rowOff>81642</xdr:rowOff>
    </xdr:to>
    <xdr:pic>
      <xdr:nvPicPr>
        <xdr:cNvPr id="9219" name="Picture 3" descr="The camber is the curvature of an airfoil."/>
        <xdr:cNvPicPr>
          <a:picLocks noChangeAspect="1" noChangeArrowheads="1"/>
        </xdr:cNvPicPr>
      </xdr:nvPicPr>
      <xdr:blipFill>
        <a:blip xmlns:r="http://schemas.openxmlformats.org/officeDocument/2006/relationships" r:embed="rId3" cstate="print"/>
        <a:srcRect/>
        <a:stretch>
          <a:fillRect/>
        </a:stretch>
      </xdr:blipFill>
      <xdr:spPr bwMode="auto">
        <a:xfrm>
          <a:off x="17975036" y="4163785"/>
          <a:ext cx="7605032" cy="2449286"/>
        </a:xfrm>
        <a:prstGeom prst="rect">
          <a:avLst/>
        </a:prstGeom>
        <a:noFill/>
      </xdr:spPr>
    </xdr:pic>
    <xdr:clientData/>
  </xdr:twoCellAnchor>
  <xdr:twoCellAnchor editAs="oneCell">
    <xdr:from>
      <xdr:col>32</xdr:col>
      <xdr:colOff>67235</xdr:colOff>
      <xdr:row>47</xdr:row>
      <xdr:rowOff>0</xdr:rowOff>
    </xdr:from>
    <xdr:to>
      <xdr:col>35</xdr:col>
      <xdr:colOff>362510</xdr:colOff>
      <xdr:row>49</xdr:row>
      <xdr:rowOff>133350</xdr:rowOff>
    </xdr:to>
    <xdr:pic>
      <xdr:nvPicPr>
        <xdr:cNvPr id="9220" name="Picture 4" descr="c_\mathrm l = {\frac{L}{\frac{1}{2}\rho v^2A}} = {\frac{2 L}{\rho v^2A}} = \frac{L}{q A}"/>
        <xdr:cNvPicPr>
          <a:picLocks noChangeAspect="1" noChangeArrowheads="1"/>
        </xdr:cNvPicPr>
      </xdr:nvPicPr>
      <xdr:blipFill>
        <a:blip xmlns:r="http://schemas.openxmlformats.org/officeDocument/2006/relationships" r:embed="rId4" cstate="print"/>
        <a:srcRect/>
        <a:stretch>
          <a:fillRect/>
        </a:stretch>
      </xdr:blipFill>
      <xdr:spPr bwMode="auto">
        <a:xfrm>
          <a:off x="11564470" y="7395882"/>
          <a:ext cx="2110628" cy="447115"/>
        </a:xfrm>
        <a:prstGeom prst="rect">
          <a:avLst/>
        </a:prstGeom>
        <a:noFill/>
      </xdr:spPr>
    </xdr:pic>
    <xdr:clientData/>
  </xdr:twoCellAnchor>
  <xdr:twoCellAnchor editAs="oneCell">
    <xdr:from>
      <xdr:col>32</xdr:col>
      <xdr:colOff>0</xdr:colOff>
      <xdr:row>42</xdr:row>
      <xdr:rowOff>0</xdr:rowOff>
    </xdr:from>
    <xdr:to>
      <xdr:col>32</xdr:col>
      <xdr:colOff>190500</xdr:colOff>
      <xdr:row>42</xdr:row>
      <xdr:rowOff>123825</xdr:rowOff>
    </xdr:to>
    <xdr:pic>
      <xdr:nvPicPr>
        <xdr:cNvPr id="9221" name="Picture 5" descr="c_\mathrm l\, ."/>
        <xdr:cNvPicPr>
          <a:picLocks noChangeAspect="1" noChangeArrowheads="1"/>
        </xdr:cNvPicPr>
      </xdr:nvPicPr>
      <xdr:blipFill>
        <a:blip xmlns:r="http://schemas.openxmlformats.org/officeDocument/2006/relationships" r:embed="rId5" cstate="print"/>
        <a:srcRect/>
        <a:stretch>
          <a:fillRect/>
        </a:stretch>
      </xdr:blipFill>
      <xdr:spPr bwMode="auto">
        <a:xfrm>
          <a:off x="11497235" y="6589059"/>
          <a:ext cx="190500" cy="123825"/>
        </a:xfrm>
        <a:prstGeom prst="rect">
          <a:avLst/>
        </a:prstGeom>
        <a:noFill/>
      </xdr:spPr>
    </xdr:pic>
    <xdr:clientData/>
  </xdr:twoCellAnchor>
  <xdr:twoCellAnchor editAs="oneCell">
    <xdr:from>
      <xdr:col>32</xdr:col>
      <xdr:colOff>0</xdr:colOff>
      <xdr:row>44</xdr:row>
      <xdr:rowOff>0</xdr:rowOff>
    </xdr:from>
    <xdr:to>
      <xdr:col>32</xdr:col>
      <xdr:colOff>114300</xdr:colOff>
      <xdr:row>44</xdr:row>
      <xdr:rowOff>123825</xdr:rowOff>
    </xdr:to>
    <xdr:pic>
      <xdr:nvPicPr>
        <xdr:cNvPr id="9222" name="Picture 6" descr="c_\mathrm l\,"/>
        <xdr:cNvPicPr>
          <a:picLocks noChangeAspect="1" noChangeArrowheads="1"/>
        </xdr:cNvPicPr>
      </xdr:nvPicPr>
      <xdr:blipFill>
        <a:blip xmlns:r="http://schemas.openxmlformats.org/officeDocument/2006/relationships" r:embed="rId6" cstate="print"/>
        <a:srcRect/>
        <a:stretch>
          <a:fillRect/>
        </a:stretch>
      </xdr:blipFill>
      <xdr:spPr bwMode="auto">
        <a:xfrm>
          <a:off x="11582400" y="10001250"/>
          <a:ext cx="114300" cy="123825"/>
        </a:xfrm>
        <a:prstGeom prst="rect">
          <a:avLst/>
        </a:prstGeom>
        <a:noFill/>
      </xdr:spPr>
    </xdr:pic>
    <xdr:clientData/>
  </xdr:twoCellAnchor>
  <xdr:twoCellAnchor editAs="oneCell">
    <xdr:from>
      <xdr:col>32</xdr:col>
      <xdr:colOff>0</xdr:colOff>
      <xdr:row>53</xdr:row>
      <xdr:rowOff>0</xdr:rowOff>
    </xdr:from>
    <xdr:to>
      <xdr:col>36</xdr:col>
      <xdr:colOff>419101</xdr:colOff>
      <xdr:row>66</xdr:row>
      <xdr:rowOff>114301</xdr:rowOff>
    </xdr:to>
    <xdr:pic>
      <xdr:nvPicPr>
        <xdr:cNvPr id="9223" name="Picture 7" descr="http://upload.wikimedia.org/wikipedia/commons/thumb/d/d1/Lift_curve.svg/300px-Lift_curve.svg.png"/>
        <xdr:cNvPicPr>
          <a:picLocks noChangeAspect="1" noChangeArrowheads="1"/>
        </xdr:cNvPicPr>
      </xdr:nvPicPr>
      <xdr:blipFill>
        <a:blip xmlns:r="http://schemas.openxmlformats.org/officeDocument/2006/relationships" r:embed="rId7" cstate="print"/>
        <a:srcRect/>
        <a:stretch>
          <a:fillRect/>
        </a:stretch>
      </xdr:blipFill>
      <xdr:spPr bwMode="auto">
        <a:xfrm>
          <a:off x="11582400" y="9363075"/>
          <a:ext cx="2857500" cy="2343150"/>
        </a:xfrm>
        <a:prstGeom prst="rect">
          <a:avLst/>
        </a:prstGeom>
        <a:noFill/>
      </xdr:spPr>
    </xdr:pic>
    <xdr:clientData/>
  </xdr:twoCellAnchor>
  <xdr:twoCellAnchor editAs="oneCell">
    <xdr:from>
      <xdr:col>32</xdr:col>
      <xdr:colOff>0</xdr:colOff>
      <xdr:row>67</xdr:row>
      <xdr:rowOff>0</xdr:rowOff>
    </xdr:from>
    <xdr:to>
      <xdr:col>32</xdr:col>
      <xdr:colOff>142875</xdr:colOff>
      <xdr:row>67</xdr:row>
      <xdr:rowOff>104775</xdr:rowOff>
    </xdr:to>
    <xdr:pic>
      <xdr:nvPicPr>
        <xdr:cNvPr id="9224" name="Picture 8" descr="http://bits.wikimedia.org/skins-1.5/common/images/magnify-clip.png">
          <a:hlinkClick xmlns:r="http://schemas.openxmlformats.org/officeDocument/2006/relationships" r:id="rId8" tooltip="Enlarge"/>
        </xdr:cNvPr>
        <xdr:cNvPicPr>
          <a:picLocks noChangeAspect="1" noChangeArrowheads="1"/>
        </xdr:cNvPicPr>
      </xdr:nvPicPr>
      <xdr:blipFill>
        <a:blip xmlns:r="http://schemas.openxmlformats.org/officeDocument/2006/relationships" r:embed="rId9" cstate="print"/>
        <a:srcRect/>
        <a:stretch>
          <a:fillRect/>
        </a:stretch>
      </xdr:blipFill>
      <xdr:spPr bwMode="auto">
        <a:xfrm>
          <a:off x="11582400" y="11753850"/>
          <a:ext cx="142875" cy="104775"/>
        </a:xfrm>
        <a:prstGeom prst="rect">
          <a:avLst/>
        </a:prstGeom>
        <a:noFill/>
      </xdr:spPr>
    </xdr:pic>
    <xdr:clientData/>
  </xdr:twoCellAnchor>
  <xdr:twoCellAnchor editAs="oneCell">
    <xdr:from>
      <xdr:col>32</xdr:col>
      <xdr:colOff>0</xdr:colOff>
      <xdr:row>70</xdr:row>
      <xdr:rowOff>0</xdr:rowOff>
    </xdr:from>
    <xdr:to>
      <xdr:col>32</xdr:col>
      <xdr:colOff>190500</xdr:colOff>
      <xdr:row>70</xdr:row>
      <xdr:rowOff>123825</xdr:rowOff>
    </xdr:to>
    <xdr:pic>
      <xdr:nvPicPr>
        <xdr:cNvPr id="9225" name="Picture 9" descr="c_\mathrm l\, ."/>
        <xdr:cNvPicPr>
          <a:picLocks noChangeAspect="1" noChangeArrowheads="1"/>
        </xdr:cNvPicPr>
      </xdr:nvPicPr>
      <xdr:blipFill>
        <a:blip xmlns:r="http://schemas.openxmlformats.org/officeDocument/2006/relationships" r:embed="rId5" cstate="print"/>
        <a:srcRect/>
        <a:stretch>
          <a:fillRect/>
        </a:stretch>
      </xdr:blipFill>
      <xdr:spPr bwMode="auto">
        <a:xfrm>
          <a:off x="11582400" y="15916275"/>
          <a:ext cx="190500" cy="123825"/>
        </a:xfrm>
        <a:prstGeom prst="rect">
          <a:avLst/>
        </a:prstGeom>
        <a:noFill/>
      </xdr:spPr>
    </xdr:pic>
    <xdr:clientData/>
  </xdr:twoCellAnchor>
  <xdr:twoCellAnchor editAs="oneCell">
    <xdr:from>
      <xdr:col>32</xdr:col>
      <xdr:colOff>0</xdr:colOff>
      <xdr:row>72</xdr:row>
      <xdr:rowOff>0</xdr:rowOff>
    </xdr:from>
    <xdr:to>
      <xdr:col>32</xdr:col>
      <xdr:colOff>133350</xdr:colOff>
      <xdr:row>72</xdr:row>
      <xdr:rowOff>133350</xdr:rowOff>
    </xdr:to>
    <xdr:pic>
      <xdr:nvPicPr>
        <xdr:cNvPr id="9226" name="Picture 10" descr="l\, ."/>
        <xdr:cNvPicPr>
          <a:picLocks noChangeAspect="1" noChangeArrowheads="1"/>
        </xdr:cNvPicPr>
      </xdr:nvPicPr>
      <xdr:blipFill>
        <a:blip xmlns:r="http://schemas.openxmlformats.org/officeDocument/2006/relationships" r:embed="rId10" cstate="print"/>
        <a:srcRect/>
        <a:stretch>
          <a:fillRect/>
        </a:stretch>
      </xdr:blipFill>
      <xdr:spPr bwMode="auto">
        <a:xfrm>
          <a:off x="11582400" y="26155650"/>
          <a:ext cx="133350" cy="133350"/>
        </a:xfrm>
        <a:prstGeom prst="rect">
          <a:avLst/>
        </a:prstGeom>
        <a:noFill/>
      </xdr:spPr>
    </xdr:pic>
    <xdr:clientData/>
  </xdr:twoCellAnchor>
  <xdr:twoCellAnchor editAs="oneCell">
    <xdr:from>
      <xdr:col>32</xdr:col>
      <xdr:colOff>0</xdr:colOff>
      <xdr:row>75</xdr:row>
      <xdr:rowOff>0</xdr:rowOff>
    </xdr:from>
    <xdr:to>
      <xdr:col>33</xdr:col>
      <xdr:colOff>247651</xdr:colOff>
      <xdr:row>77</xdr:row>
      <xdr:rowOff>133350</xdr:rowOff>
    </xdr:to>
    <xdr:pic>
      <xdr:nvPicPr>
        <xdr:cNvPr id="9227" name="Picture 11" descr="c_l={l \over \frac{1}{2}\rho v^2c}"/>
        <xdr:cNvPicPr>
          <a:picLocks noChangeAspect="1" noChangeArrowheads="1"/>
        </xdr:cNvPicPr>
      </xdr:nvPicPr>
      <xdr:blipFill>
        <a:blip xmlns:r="http://schemas.openxmlformats.org/officeDocument/2006/relationships" r:embed="rId11" cstate="print"/>
        <a:srcRect/>
        <a:stretch>
          <a:fillRect/>
        </a:stretch>
      </xdr:blipFill>
      <xdr:spPr bwMode="auto">
        <a:xfrm>
          <a:off x="11582400" y="12382500"/>
          <a:ext cx="857250" cy="457200"/>
        </a:xfrm>
        <a:prstGeom prst="rect">
          <a:avLst/>
        </a:prstGeom>
        <a:noFill/>
      </xdr:spPr>
    </xdr:pic>
    <xdr:clientData/>
  </xdr:twoCellAnchor>
  <xdr:twoCellAnchor editAs="oneCell">
    <xdr:from>
      <xdr:col>18</xdr:col>
      <xdr:colOff>0</xdr:colOff>
      <xdr:row>8</xdr:row>
      <xdr:rowOff>0</xdr:rowOff>
    </xdr:from>
    <xdr:to>
      <xdr:col>26</xdr:col>
      <xdr:colOff>180975</xdr:colOff>
      <xdr:row>44</xdr:row>
      <xdr:rowOff>142875</xdr:rowOff>
    </xdr:to>
    <xdr:pic>
      <xdr:nvPicPr>
        <xdr:cNvPr id="9228" name="Picture 12"/>
        <xdr:cNvPicPr>
          <a:picLocks noChangeAspect="1" noChangeArrowheads="1"/>
        </xdr:cNvPicPr>
      </xdr:nvPicPr>
      <xdr:blipFill>
        <a:blip xmlns:r="http://schemas.openxmlformats.org/officeDocument/2006/relationships" r:embed="rId12" cstate="print"/>
        <a:srcRect/>
        <a:stretch>
          <a:fillRect/>
        </a:stretch>
      </xdr:blipFill>
      <xdr:spPr bwMode="auto">
        <a:xfrm>
          <a:off x="10972800" y="1295400"/>
          <a:ext cx="5057775" cy="5972175"/>
        </a:xfrm>
        <a:prstGeom prst="rect">
          <a:avLst/>
        </a:prstGeom>
        <a:noFill/>
      </xdr:spPr>
    </xdr:pic>
    <xdr:clientData/>
  </xdr:twoCellAnchor>
  <xdr:twoCellAnchor editAs="oneCell">
    <xdr:from>
      <xdr:col>27</xdr:col>
      <xdr:colOff>81643</xdr:colOff>
      <xdr:row>73</xdr:row>
      <xdr:rowOff>44903</xdr:rowOff>
    </xdr:from>
    <xdr:to>
      <xdr:col>41</xdr:col>
      <xdr:colOff>1021</xdr:colOff>
      <xdr:row>119</xdr:row>
      <xdr:rowOff>44903</xdr:rowOff>
    </xdr:to>
    <xdr:pic>
      <xdr:nvPicPr>
        <xdr:cNvPr id="9229" name="Picture 13"/>
        <xdr:cNvPicPr>
          <a:picLocks noChangeAspect="1" noChangeArrowheads="1"/>
        </xdr:cNvPicPr>
      </xdr:nvPicPr>
      <xdr:blipFill>
        <a:blip xmlns:r="http://schemas.openxmlformats.org/officeDocument/2006/relationships" r:embed="rId13" cstate="print">
          <a:lum bright="30000" contrast="-30000"/>
        </a:blip>
        <a:srcRect/>
        <a:stretch>
          <a:fillRect/>
        </a:stretch>
      </xdr:blipFill>
      <xdr:spPr bwMode="auto">
        <a:xfrm>
          <a:off x="16614322" y="12250510"/>
          <a:ext cx="8486775" cy="7524750"/>
        </a:xfrm>
        <a:prstGeom prst="rect">
          <a:avLst/>
        </a:prstGeom>
        <a:noFill/>
      </xdr:spPr>
    </xdr:pic>
    <xdr:clientData/>
  </xdr:twoCellAnchor>
  <xdr:twoCellAnchor>
    <xdr:from>
      <xdr:col>11</xdr:col>
      <xdr:colOff>342899</xdr:colOff>
      <xdr:row>75</xdr:row>
      <xdr:rowOff>66675</xdr:rowOff>
    </xdr:from>
    <xdr:to>
      <xdr:col>19</xdr:col>
      <xdr:colOff>381000</xdr:colOff>
      <xdr:row>116</xdr:row>
      <xdr:rowOff>28574</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276224</xdr:colOff>
      <xdr:row>116</xdr:row>
      <xdr:rowOff>123824</xdr:rowOff>
    </xdr:from>
    <xdr:to>
      <xdr:col>19</xdr:col>
      <xdr:colOff>400049</xdr:colOff>
      <xdr:row>146</xdr:row>
      <xdr:rowOff>133349</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268939</xdr:colOff>
      <xdr:row>147</xdr:row>
      <xdr:rowOff>112059</xdr:rowOff>
    </xdr:from>
    <xdr:to>
      <xdr:col>19</xdr:col>
      <xdr:colOff>369793</xdr:colOff>
      <xdr:row>168</xdr:row>
      <xdr:rowOff>33618</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20</xdr:col>
      <xdr:colOff>0</xdr:colOff>
      <xdr:row>147</xdr:row>
      <xdr:rowOff>0</xdr:rowOff>
    </xdr:from>
    <xdr:to>
      <xdr:col>28</xdr:col>
      <xdr:colOff>100854</xdr:colOff>
      <xdr:row>167</xdr:row>
      <xdr:rowOff>78441</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20</xdr:col>
      <xdr:colOff>13607</xdr:colOff>
      <xdr:row>93</xdr:row>
      <xdr:rowOff>13608</xdr:rowOff>
    </xdr:from>
    <xdr:to>
      <xdr:col>27</xdr:col>
      <xdr:colOff>299357</xdr:colOff>
      <xdr:row>109</xdr:row>
      <xdr:rowOff>149680</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en.wikipedia.org/wiki/Airfoil" TargetMode="External"/><Relationship Id="rId1" Type="http://schemas.openxmlformats.org/officeDocument/2006/relationships/hyperlink" Target="http://en.wikipedia.org/wiki/Lift_(force)"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65" sqref="C65"/>
    </sheetView>
  </sheetViews>
  <sheetFormatPr defaultColWidth="9.109375" defaultRowHeight="15.6" x14ac:dyDescent="0.3"/>
  <cols>
    <col min="1" max="2" width="9.109375" style="30"/>
    <col min="3" max="3" width="10.6640625" style="30" bestFit="1" customWidth="1"/>
    <col min="4" max="11" width="9.109375" style="30"/>
    <col min="12" max="12" width="5.44140625" style="19" customWidth="1"/>
    <col min="13" max="17" width="5.33203125" style="100" customWidth="1"/>
    <col min="18" max="19" width="5.33203125" style="101" customWidth="1"/>
    <col min="20" max="25" width="9.109375" style="103"/>
    <col min="26" max="16384" width="9.109375" style="30"/>
  </cols>
  <sheetData>
    <row r="1" spans="1:25" s="19" customFormat="1" ht="13.8" x14ac:dyDescent="0.3">
      <c r="A1" s="15"/>
      <c r="B1" s="16" t="s">
        <v>72</v>
      </c>
      <c r="C1" s="17" t="s">
        <v>10</v>
      </c>
      <c r="D1" s="15"/>
      <c r="E1" s="15"/>
      <c r="F1" s="16" t="s">
        <v>174</v>
      </c>
      <c r="G1" s="18"/>
      <c r="H1" s="15"/>
      <c r="I1" s="15"/>
      <c r="J1" s="15"/>
      <c r="K1" s="15"/>
      <c r="M1" s="96"/>
      <c r="N1" s="96"/>
      <c r="O1" s="96"/>
      <c r="P1" s="96"/>
      <c r="Q1" s="96"/>
      <c r="R1" s="96"/>
      <c r="S1" s="96"/>
      <c r="T1" s="97"/>
      <c r="U1" s="97"/>
      <c r="V1" s="97"/>
      <c r="W1" s="98"/>
      <c r="X1" s="99"/>
      <c r="Y1" s="97"/>
    </row>
    <row r="2" spans="1:25" s="19" customFormat="1" ht="13.8" x14ac:dyDescent="0.3">
      <c r="A2" s="15"/>
      <c r="B2" s="16" t="s">
        <v>74</v>
      </c>
      <c r="C2" s="17" t="s">
        <v>71</v>
      </c>
      <c r="D2" s="15"/>
      <c r="E2" s="15"/>
      <c r="F2" s="16" t="s">
        <v>75</v>
      </c>
      <c r="G2" s="17"/>
      <c r="H2" s="15"/>
      <c r="I2" s="15"/>
      <c r="J2" s="15"/>
      <c r="K2" s="15"/>
      <c r="M2" s="96"/>
      <c r="N2" s="96"/>
      <c r="O2" s="96"/>
      <c r="P2" s="96"/>
      <c r="Q2" s="96"/>
      <c r="R2" s="96"/>
      <c r="S2" s="96"/>
      <c r="T2" s="97"/>
      <c r="U2" s="97"/>
      <c r="V2" s="97"/>
      <c r="W2" s="98"/>
      <c r="X2" s="99"/>
      <c r="Y2" s="97"/>
    </row>
    <row r="3" spans="1:25" s="19" customFormat="1" ht="13.8" x14ac:dyDescent="0.3">
      <c r="A3" s="15"/>
      <c r="B3" s="16" t="s">
        <v>7</v>
      </c>
      <c r="C3" s="22"/>
      <c r="D3" s="15"/>
      <c r="E3" s="15"/>
      <c r="F3" s="16" t="s">
        <v>9</v>
      </c>
      <c r="G3" s="17"/>
      <c r="H3" s="15"/>
      <c r="I3" s="15"/>
      <c r="J3" s="15"/>
      <c r="K3" s="15"/>
      <c r="M3" s="96"/>
      <c r="N3" s="96"/>
      <c r="O3" s="96"/>
      <c r="P3" s="96"/>
      <c r="Q3" s="96"/>
      <c r="R3" s="96"/>
      <c r="S3" s="96"/>
      <c r="T3" s="97"/>
      <c r="U3" s="97"/>
      <c r="V3" s="97"/>
      <c r="W3" s="98"/>
      <c r="X3" s="99"/>
      <c r="Y3" s="97"/>
    </row>
    <row r="4" spans="1:25" s="19" customFormat="1" ht="13.8" x14ac:dyDescent="0.3">
      <c r="A4" s="15"/>
      <c r="B4" s="16" t="s">
        <v>175</v>
      </c>
      <c r="C4" s="18"/>
      <c r="D4" s="15"/>
      <c r="E4" s="15"/>
      <c r="F4" s="16" t="s">
        <v>176</v>
      </c>
      <c r="G4" s="17" t="s">
        <v>177</v>
      </c>
      <c r="H4" s="15"/>
      <c r="I4" s="15"/>
      <c r="J4" s="15"/>
      <c r="K4" s="15"/>
      <c r="M4" s="96"/>
      <c r="N4" s="96"/>
      <c r="O4" s="96"/>
      <c r="P4" s="96"/>
      <c r="Q4" s="100"/>
      <c r="R4" s="101"/>
      <c r="S4" s="101"/>
      <c r="T4" s="97"/>
      <c r="U4" s="97"/>
      <c r="V4" s="97"/>
      <c r="W4" s="98"/>
      <c r="X4" s="99"/>
      <c r="Y4" s="97"/>
    </row>
    <row r="5" spans="1:25" s="19" customFormat="1" ht="13.8" x14ac:dyDescent="0.3">
      <c r="A5" s="15"/>
      <c r="B5" s="16" t="s">
        <v>178</v>
      </c>
      <c r="C5" s="18"/>
      <c r="D5" s="15"/>
      <c r="E5" s="16"/>
      <c r="F5" s="15"/>
      <c r="G5" s="15"/>
      <c r="H5" s="15"/>
      <c r="I5" s="15"/>
      <c r="J5" s="15"/>
      <c r="K5" s="15"/>
      <c r="M5" s="96"/>
      <c r="N5" s="96"/>
      <c r="O5" s="96"/>
      <c r="P5" s="96"/>
      <c r="Q5" s="100"/>
      <c r="R5" s="101"/>
      <c r="S5" s="101"/>
      <c r="T5" s="97"/>
      <c r="U5" s="97"/>
      <c r="V5" s="97"/>
      <c r="W5" s="98"/>
      <c r="X5" s="99"/>
      <c r="Y5" s="97"/>
    </row>
    <row r="6" spans="1:25" s="19" customFormat="1" ht="13.8" x14ac:dyDescent="0.3">
      <c r="A6" s="15"/>
      <c r="B6" s="15" t="s">
        <v>24</v>
      </c>
      <c r="C6" s="23"/>
      <c r="D6" s="15"/>
      <c r="E6" s="15"/>
      <c r="F6" s="15"/>
      <c r="G6" s="15"/>
      <c r="H6" s="15"/>
      <c r="I6" s="15"/>
      <c r="J6" s="15"/>
      <c r="K6" s="15"/>
      <c r="M6" s="96"/>
      <c r="N6" s="96"/>
      <c r="O6" s="96"/>
      <c r="P6" s="96"/>
      <c r="Q6" s="100"/>
      <c r="R6" s="101"/>
      <c r="S6" s="101"/>
      <c r="T6" s="97"/>
      <c r="U6" s="97"/>
      <c r="V6" s="97"/>
      <c r="W6" s="98"/>
      <c r="X6" s="99"/>
      <c r="Y6" s="97"/>
    </row>
    <row r="7" spans="1:25" s="19" customFormat="1" ht="13.8" x14ac:dyDescent="0.3">
      <c r="A7" s="15"/>
      <c r="B7" s="15"/>
      <c r="C7" s="15"/>
      <c r="D7" s="15"/>
      <c r="E7" s="15"/>
      <c r="F7" s="15"/>
      <c r="G7" s="15"/>
      <c r="H7" s="15"/>
      <c r="I7" s="15"/>
      <c r="J7" s="15"/>
      <c r="K7" s="15"/>
      <c r="M7" s="96"/>
      <c r="N7" s="96"/>
      <c r="O7" s="96"/>
      <c r="P7" s="96"/>
      <c r="Q7" s="100"/>
      <c r="R7" s="101"/>
      <c r="S7" s="101"/>
      <c r="T7" s="97"/>
      <c r="U7" s="97"/>
      <c r="V7" s="97"/>
      <c r="W7" s="98"/>
      <c r="X7" s="99"/>
      <c r="Y7" s="97"/>
    </row>
    <row r="8" spans="1:25" s="19" customFormat="1" ht="13.8" x14ac:dyDescent="0.3">
      <c r="A8" s="24"/>
      <c r="E8" s="20"/>
      <c r="F8" s="21"/>
      <c r="H8" s="25"/>
      <c r="I8" s="20"/>
      <c r="J8" s="26"/>
      <c r="K8" s="27"/>
      <c r="L8" s="28"/>
      <c r="M8" s="96"/>
      <c r="N8" s="96"/>
      <c r="O8" s="96"/>
      <c r="P8" s="96"/>
      <c r="Q8" s="100"/>
      <c r="R8" s="101"/>
      <c r="S8" s="101"/>
      <c r="T8" s="97"/>
      <c r="U8" s="97"/>
      <c r="V8" s="97"/>
      <c r="W8" s="97"/>
      <c r="X8" s="97"/>
      <c r="Y8" s="97"/>
    </row>
    <row r="9" spans="1:25" s="19" customFormat="1" ht="13.8" x14ac:dyDescent="0.3">
      <c r="E9" s="20"/>
      <c r="F9" s="25"/>
      <c r="H9" s="25"/>
      <c r="I9" s="20"/>
      <c r="J9" s="27"/>
      <c r="K9" s="27"/>
      <c r="L9" s="28"/>
      <c r="M9" s="96"/>
      <c r="N9" s="96"/>
      <c r="O9" s="96"/>
      <c r="P9" s="96"/>
      <c r="Q9" s="100"/>
      <c r="R9" s="101"/>
      <c r="S9" s="101"/>
      <c r="T9" s="97"/>
      <c r="U9" s="97"/>
      <c r="V9" s="97"/>
      <c r="W9" s="97"/>
      <c r="X9" s="97"/>
      <c r="Y9" s="97"/>
    </row>
    <row r="10" spans="1:25" s="19" customFormat="1" ht="13.8" x14ac:dyDescent="0.3">
      <c r="E10" s="20"/>
      <c r="F10" s="25"/>
      <c r="H10" s="25"/>
      <c r="I10" s="20"/>
      <c r="J10" s="21"/>
      <c r="K10" s="25"/>
      <c r="L10" s="28"/>
      <c r="M10" s="96"/>
      <c r="N10" s="96"/>
      <c r="O10" s="96"/>
      <c r="P10" s="96"/>
      <c r="Q10" s="100"/>
      <c r="R10" s="101"/>
      <c r="S10" s="101"/>
      <c r="T10" s="97"/>
      <c r="U10" s="97"/>
      <c r="V10" s="97"/>
      <c r="W10" s="97"/>
      <c r="X10" s="97"/>
      <c r="Y10" s="97"/>
    </row>
    <row r="11" spans="1:25" s="19" customFormat="1" ht="13.8" x14ac:dyDescent="0.3">
      <c r="E11" s="20"/>
      <c r="F11" s="25"/>
      <c r="I11" s="29"/>
      <c r="J11" s="21"/>
      <c r="M11" s="96"/>
      <c r="N11" s="96"/>
      <c r="O11" s="96"/>
      <c r="P11" s="96"/>
      <c r="Q11" s="96"/>
      <c r="R11" s="96"/>
      <c r="S11" s="96"/>
      <c r="T11" s="97"/>
      <c r="U11" s="97"/>
      <c r="V11" s="97"/>
      <c r="W11" s="97"/>
      <c r="X11" s="97"/>
      <c r="Y11" s="97"/>
    </row>
    <row r="12" spans="1:25" x14ac:dyDescent="0.3">
      <c r="C12" s="31" t="str">
        <f>G4</f>
        <v>IMPORTANT INFORMATION</v>
      </c>
      <c r="M12" s="96"/>
      <c r="N12" s="96"/>
      <c r="O12" s="96"/>
      <c r="P12" s="96"/>
      <c r="Q12" s="102"/>
      <c r="R12" s="102"/>
      <c r="S12" s="102"/>
    </row>
    <row r="13" spans="1:25" s="19" customFormat="1" ht="13.8" x14ac:dyDescent="0.3">
      <c r="M13" s="96"/>
      <c r="N13" s="96"/>
      <c r="O13" s="96"/>
      <c r="P13" s="96"/>
      <c r="Q13" s="96"/>
      <c r="R13" s="96"/>
      <c r="S13" s="96"/>
      <c r="T13" s="97"/>
      <c r="U13" s="97"/>
      <c r="V13" s="97"/>
      <c r="W13" s="97"/>
      <c r="X13" s="97"/>
      <c r="Y13" s="97"/>
    </row>
    <row r="14" spans="1:25" s="19" customFormat="1" ht="13.8" x14ac:dyDescent="0.3">
      <c r="B14" s="32" t="s">
        <v>179</v>
      </c>
      <c r="M14" s="96"/>
      <c r="N14" s="96"/>
      <c r="O14" s="96"/>
      <c r="P14" s="96"/>
      <c r="Q14" s="96"/>
      <c r="R14" s="96"/>
      <c r="S14" s="96"/>
      <c r="T14" s="97"/>
      <c r="U14" s="97"/>
      <c r="V14" s="97"/>
      <c r="W14" s="97"/>
      <c r="X14" s="97"/>
      <c r="Y14" s="97"/>
    </row>
    <row r="15" spans="1:25" s="19" customFormat="1" ht="13.8" x14ac:dyDescent="0.3">
      <c r="A15" s="33"/>
      <c r="K15" s="33"/>
      <c r="M15" s="100"/>
      <c r="N15" s="100"/>
      <c r="O15" s="100"/>
      <c r="P15" s="100"/>
      <c r="Q15" s="100"/>
      <c r="R15" s="101"/>
      <c r="S15" s="101"/>
      <c r="T15" s="97"/>
      <c r="U15" s="97"/>
      <c r="V15" s="97"/>
      <c r="W15" s="97"/>
      <c r="X15" s="97"/>
      <c r="Y15" s="97"/>
    </row>
    <row r="16" spans="1:25" s="19" customFormat="1" ht="12.75" customHeight="1" x14ac:dyDescent="0.3">
      <c r="B16" s="108" t="s">
        <v>201</v>
      </c>
      <c r="C16" s="108"/>
      <c r="D16" s="108"/>
      <c r="E16" s="108"/>
      <c r="F16" s="108"/>
      <c r="G16" s="108"/>
      <c r="H16" s="108"/>
      <c r="I16" s="108"/>
      <c r="J16" s="108"/>
      <c r="M16" s="100"/>
      <c r="N16" s="100"/>
      <c r="O16" s="100"/>
      <c r="P16" s="100"/>
      <c r="Q16" s="100"/>
      <c r="R16" s="101"/>
      <c r="S16" s="101"/>
      <c r="T16" s="97"/>
      <c r="U16" s="97"/>
      <c r="V16" s="97"/>
      <c r="W16" s="97"/>
      <c r="X16" s="97"/>
      <c r="Y16" s="97"/>
    </row>
    <row r="17" spans="1:25" s="19" customFormat="1" ht="13.8" x14ac:dyDescent="0.3">
      <c r="B17" s="108"/>
      <c r="C17" s="108"/>
      <c r="D17" s="108"/>
      <c r="E17" s="108"/>
      <c r="F17" s="108"/>
      <c r="G17" s="108"/>
      <c r="H17" s="108"/>
      <c r="I17" s="108"/>
      <c r="J17" s="108"/>
      <c r="M17" s="100"/>
      <c r="N17" s="100"/>
      <c r="O17" s="100"/>
      <c r="P17" s="100"/>
      <c r="Q17" s="100"/>
      <c r="R17" s="101"/>
      <c r="S17" s="101"/>
      <c r="T17" s="97"/>
      <c r="U17" s="97"/>
      <c r="V17" s="97"/>
      <c r="W17" s="97"/>
      <c r="X17" s="97"/>
      <c r="Y17" s="97"/>
    </row>
    <row r="18" spans="1:25" s="19" customFormat="1" ht="13.8" x14ac:dyDescent="0.3">
      <c r="B18" s="108"/>
      <c r="C18" s="108"/>
      <c r="D18" s="108"/>
      <c r="E18" s="108"/>
      <c r="F18" s="108"/>
      <c r="G18" s="108"/>
      <c r="H18" s="108"/>
      <c r="I18" s="108"/>
      <c r="J18" s="108"/>
      <c r="M18" s="100"/>
      <c r="N18" s="100"/>
      <c r="O18" s="100"/>
      <c r="P18" s="100"/>
      <c r="Q18" s="100"/>
      <c r="R18" s="101"/>
      <c r="S18" s="101"/>
      <c r="T18" s="97"/>
      <c r="U18" s="97"/>
      <c r="V18" s="97"/>
      <c r="W18" s="97"/>
      <c r="X18" s="97"/>
      <c r="Y18" s="97"/>
    </row>
    <row r="19" spans="1:25" s="19" customFormat="1" ht="13.8" x14ac:dyDescent="0.3">
      <c r="B19" s="108"/>
      <c r="C19" s="108"/>
      <c r="D19" s="108"/>
      <c r="E19" s="108"/>
      <c r="F19" s="108"/>
      <c r="G19" s="108"/>
      <c r="H19" s="108"/>
      <c r="I19" s="108"/>
      <c r="J19" s="108"/>
      <c r="M19" s="100"/>
      <c r="N19" s="100"/>
      <c r="O19" s="100"/>
      <c r="P19" s="100"/>
      <c r="Q19" s="100"/>
      <c r="R19" s="101"/>
      <c r="S19" s="101"/>
      <c r="T19" s="97"/>
      <c r="U19" s="97"/>
      <c r="V19" s="97"/>
      <c r="W19" s="97"/>
      <c r="X19" s="97"/>
      <c r="Y19" s="97"/>
    </row>
    <row r="20" spans="1:25" s="19" customFormat="1" ht="12.75" customHeight="1" x14ac:dyDescent="0.3">
      <c r="A20" s="33"/>
      <c r="B20" s="34" t="s">
        <v>199</v>
      </c>
      <c r="C20" s="33"/>
      <c r="D20" s="33"/>
      <c r="E20" s="33"/>
      <c r="F20" s="33"/>
      <c r="G20" s="33"/>
      <c r="H20" s="33"/>
      <c r="I20" s="33"/>
      <c r="J20" s="33"/>
      <c r="K20" s="33"/>
      <c r="M20" s="100"/>
      <c r="N20" s="100"/>
      <c r="O20" s="100"/>
      <c r="P20" s="100"/>
      <c r="Q20" s="100"/>
      <c r="R20" s="101"/>
      <c r="S20" s="101"/>
      <c r="T20" s="97"/>
      <c r="U20" s="97"/>
      <c r="V20" s="97"/>
      <c r="W20" s="97"/>
      <c r="X20" s="97"/>
      <c r="Y20" s="97"/>
    </row>
    <row r="21" spans="1:25" s="19" customFormat="1" ht="13.8" x14ac:dyDescent="0.3">
      <c r="A21" s="33"/>
      <c r="B21" s="34"/>
      <c r="C21" s="33"/>
      <c r="D21" s="33"/>
      <c r="E21" s="33"/>
      <c r="F21" s="33"/>
      <c r="G21" s="33"/>
      <c r="H21" s="33"/>
      <c r="I21" s="33"/>
      <c r="J21" s="33"/>
      <c r="K21" s="33"/>
      <c r="M21" s="100"/>
      <c r="N21" s="100"/>
      <c r="O21" s="100"/>
      <c r="P21" s="100"/>
      <c r="Q21" s="100"/>
      <c r="R21" s="101"/>
      <c r="S21" s="101"/>
      <c r="T21" s="97"/>
      <c r="U21" s="97"/>
      <c r="V21" s="97"/>
      <c r="W21" s="97"/>
      <c r="X21" s="97"/>
      <c r="Y21" s="97"/>
    </row>
    <row r="22" spans="1:25" s="19" customFormat="1" ht="13.8" x14ac:dyDescent="0.3">
      <c r="A22" s="33"/>
      <c r="B22" s="108" t="s">
        <v>202</v>
      </c>
      <c r="C22" s="108"/>
      <c r="D22" s="108"/>
      <c r="E22" s="108"/>
      <c r="F22" s="108"/>
      <c r="G22" s="108"/>
      <c r="H22" s="108"/>
      <c r="I22" s="108"/>
      <c r="J22" s="108"/>
      <c r="K22" s="33"/>
      <c r="M22" s="100"/>
      <c r="N22" s="100"/>
      <c r="O22" s="100"/>
      <c r="P22" s="100"/>
      <c r="Q22" s="100"/>
      <c r="R22" s="101"/>
      <c r="S22" s="101"/>
      <c r="T22" s="97"/>
      <c r="U22" s="97"/>
      <c r="V22" s="97"/>
      <c r="W22" s="97"/>
      <c r="X22" s="97"/>
      <c r="Y22" s="97"/>
    </row>
    <row r="23" spans="1:25" s="19" customFormat="1" ht="13.8" x14ac:dyDescent="0.3">
      <c r="A23" s="33"/>
      <c r="B23" s="108"/>
      <c r="C23" s="108"/>
      <c r="D23" s="108"/>
      <c r="E23" s="108"/>
      <c r="F23" s="108"/>
      <c r="G23" s="108"/>
      <c r="H23" s="108"/>
      <c r="I23" s="108"/>
      <c r="J23" s="108"/>
      <c r="K23" s="33"/>
      <c r="M23" s="100"/>
      <c r="N23" s="100"/>
      <c r="O23" s="100"/>
      <c r="P23" s="100"/>
      <c r="Q23" s="100"/>
      <c r="R23" s="101"/>
      <c r="S23" s="104"/>
      <c r="T23" s="97"/>
      <c r="U23" s="97"/>
      <c r="V23" s="97"/>
      <c r="W23" s="97"/>
      <c r="X23" s="97"/>
      <c r="Y23" s="97"/>
    </row>
    <row r="24" spans="1:25" s="19" customFormat="1" ht="13.8" x14ac:dyDescent="0.3">
      <c r="A24" s="33"/>
      <c r="B24" s="108"/>
      <c r="C24" s="108"/>
      <c r="D24" s="108"/>
      <c r="E24" s="108"/>
      <c r="F24" s="108"/>
      <c r="G24" s="108"/>
      <c r="H24" s="108"/>
      <c r="I24" s="108"/>
      <c r="J24" s="108"/>
      <c r="K24" s="33"/>
      <c r="M24" s="100"/>
      <c r="N24" s="100"/>
      <c r="O24" s="100"/>
      <c r="P24" s="100"/>
      <c r="Q24" s="100"/>
      <c r="R24" s="101"/>
      <c r="S24" s="104"/>
      <c r="T24" s="97"/>
      <c r="U24" s="97"/>
      <c r="V24" s="97"/>
      <c r="W24" s="97"/>
      <c r="X24" s="97"/>
      <c r="Y24" s="97"/>
    </row>
    <row r="25" spans="1:25" s="19" customFormat="1" ht="12.75" customHeight="1" x14ac:dyDescent="0.3">
      <c r="A25" s="33"/>
      <c r="B25" s="106"/>
      <c r="C25" s="106"/>
      <c r="D25" s="106"/>
      <c r="E25" s="106"/>
      <c r="F25" s="113" t="s">
        <v>203</v>
      </c>
      <c r="G25" s="106"/>
      <c r="H25" s="106"/>
      <c r="I25" s="106"/>
      <c r="J25" s="106"/>
      <c r="K25" s="33"/>
      <c r="M25" s="100"/>
      <c r="N25" s="100"/>
      <c r="O25" s="100"/>
      <c r="P25" s="100"/>
      <c r="Q25" s="100"/>
      <c r="R25" s="101"/>
      <c r="S25" s="101"/>
      <c r="T25" s="97"/>
      <c r="U25" s="97"/>
      <c r="V25" s="97"/>
      <c r="W25" s="97"/>
      <c r="X25" s="97"/>
      <c r="Y25" s="97"/>
    </row>
    <row r="26" spans="1:25" s="19" customFormat="1" ht="13.8" x14ac:dyDescent="0.3">
      <c r="A26" s="33"/>
      <c r="B26" s="108" t="s">
        <v>204</v>
      </c>
      <c r="C26" s="108"/>
      <c r="D26" s="108"/>
      <c r="E26" s="108"/>
      <c r="F26" s="108"/>
      <c r="G26" s="108"/>
      <c r="H26" s="108"/>
      <c r="I26" s="108"/>
      <c r="J26" s="108"/>
      <c r="K26" s="33"/>
      <c r="M26" s="100"/>
      <c r="N26" s="100"/>
      <c r="O26" s="100"/>
      <c r="P26" s="100"/>
      <c r="Q26" s="100"/>
      <c r="R26" s="101"/>
      <c r="S26" s="101"/>
      <c r="T26" s="97"/>
      <c r="U26" s="97"/>
      <c r="V26" s="97"/>
      <c r="W26" s="97"/>
      <c r="X26" s="97"/>
      <c r="Y26" s="97"/>
    </row>
    <row r="27" spans="1:25" s="19" customFormat="1" ht="13.8" x14ac:dyDescent="0.3">
      <c r="A27" s="33"/>
      <c r="B27" s="108"/>
      <c r="C27" s="108"/>
      <c r="D27" s="108"/>
      <c r="E27" s="108"/>
      <c r="F27" s="108"/>
      <c r="G27" s="108"/>
      <c r="H27" s="108"/>
      <c r="I27" s="108"/>
      <c r="J27" s="108"/>
      <c r="K27" s="33"/>
      <c r="M27" s="100"/>
      <c r="N27" s="100"/>
      <c r="O27" s="100"/>
      <c r="P27" s="100"/>
      <c r="Q27" s="100"/>
      <c r="R27" s="101"/>
      <c r="S27" s="101"/>
      <c r="T27" s="97"/>
      <c r="U27" s="97"/>
      <c r="V27" s="97"/>
      <c r="W27" s="97"/>
      <c r="X27" s="97"/>
      <c r="Y27" s="97"/>
    </row>
    <row r="28" spans="1:25" s="19" customFormat="1" ht="13.8" x14ac:dyDescent="0.3">
      <c r="A28" s="33"/>
      <c r="B28" s="106"/>
      <c r="C28" s="106"/>
      <c r="D28" s="106"/>
      <c r="E28" s="106"/>
      <c r="F28" s="106"/>
      <c r="G28" s="106"/>
      <c r="H28" s="106"/>
      <c r="I28" s="106"/>
      <c r="J28" s="106"/>
      <c r="K28" s="33"/>
      <c r="M28" s="100"/>
      <c r="N28" s="100"/>
      <c r="O28" s="100"/>
      <c r="P28" s="100"/>
      <c r="Q28" s="100"/>
      <c r="R28" s="101"/>
      <c r="S28" s="101"/>
      <c r="T28" s="97"/>
      <c r="U28" s="97"/>
      <c r="V28" s="97"/>
      <c r="W28" s="97"/>
      <c r="X28" s="97"/>
      <c r="Y28" s="97"/>
    </row>
    <row r="29" spans="1:25" s="19" customFormat="1" ht="13.8" x14ac:dyDescent="0.3">
      <c r="A29" s="33"/>
      <c r="B29" s="108" t="s">
        <v>205</v>
      </c>
      <c r="C29" s="108"/>
      <c r="D29" s="108"/>
      <c r="E29" s="108"/>
      <c r="F29" s="108"/>
      <c r="G29" s="108"/>
      <c r="H29" s="108"/>
      <c r="I29" s="108"/>
      <c r="J29" s="108"/>
      <c r="K29" s="33"/>
      <c r="M29" s="100"/>
      <c r="N29" s="100"/>
      <c r="O29" s="100"/>
      <c r="P29" s="100"/>
      <c r="Q29" s="100"/>
      <c r="R29" s="101"/>
      <c r="S29" s="101"/>
      <c r="T29" s="97"/>
      <c r="U29" s="97"/>
      <c r="V29" s="97"/>
      <c r="W29" s="97"/>
      <c r="X29" s="97"/>
      <c r="Y29" s="97"/>
    </row>
    <row r="30" spans="1:25" s="19" customFormat="1" ht="13.8" x14ac:dyDescent="0.3">
      <c r="A30" s="33"/>
      <c r="B30" s="108"/>
      <c r="C30" s="108"/>
      <c r="D30" s="108"/>
      <c r="E30" s="108"/>
      <c r="F30" s="108"/>
      <c r="G30" s="108"/>
      <c r="H30" s="108"/>
      <c r="I30" s="108"/>
      <c r="J30" s="108"/>
      <c r="K30" s="33"/>
      <c r="M30" s="100"/>
      <c r="N30" s="100"/>
      <c r="O30" s="100"/>
      <c r="P30" s="100"/>
      <c r="Q30" s="100"/>
      <c r="R30" s="101"/>
      <c r="S30" s="101"/>
      <c r="T30" s="97"/>
      <c r="U30" s="97"/>
      <c r="V30" s="97"/>
      <c r="W30" s="97"/>
      <c r="X30" s="97"/>
      <c r="Y30" s="97"/>
    </row>
    <row r="31" spans="1:25" s="19" customFormat="1" ht="12.75" customHeight="1" x14ac:dyDescent="0.3">
      <c r="A31" s="33"/>
      <c r="B31" s="108"/>
      <c r="C31" s="108"/>
      <c r="D31" s="108"/>
      <c r="E31" s="108"/>
      <c r="F31" s="108"/>
      <c r="G31" s="108"/>
      <c r="H31" s="108"/>
      <c r="I31" s="108"/>
      <c r="J31" s="108"/>
      <c r="K31" s="33"/>
      <c r="M31" s="100"/>
      <c r="N31" s="100"/>
      <c r="O31" s="100"/>
      <c r="P31" s="100"/>
      <c r="Q31" s="100"/>
      <c r="R31" s="101"/>
      <c r="S31" s="101"/>
      <c r="T31" s="97"/>
      <c r="U31" s="97"/>
      <c r="V31" s="97"/>
      <c r="W31" s="97"/>
      <c r="X31" s="97"/>
      <c r="Y31" s="97"/>
    </row>
    <row r="32" spans="1:25" s="19" customFormat="1" ht="13.8" x14ac:dyDescent="0.3">
      <c r="A32" s="33"/>
      <c r="B32" s="108"/>
      <c r="C32" s="108"/>
      <c r="D32" s="108"/>
      <c r="E32" s="108"/>
      <c r="F32" s="108"/>
      <c r="G32" s="108"/>
      <c r="H32" s="108"/>
      <c r="I32" s="108"/>
      <c r="J32" s="108"/>
      <c r="K32" s="33"/>
      <c r="M32" s="100"/>
      <c r="N32" s="100"/>
      <c r="O32" s="100"/>
      <c r="P32" s="100"/>
      <c r="Q32" s="100"/>
      <c r="R32" s="101"/>
      <c r="S32" s="101"/>
      <c r="T32" s="97"/>
      <c r="U32" s="97"/>
      <c r="V32" s="97"/>
      <c r="W32" s="97"/>
      <c r="X32" s="97"/>
      <c r="Y32" s="97"/>
    </row>
    <row r="33" spans="1:25" s="19" customFormat="1" ht="12.75" customHeight="1" x14ac:dyDescent="0.3">
      <c r="A33" s="33"/>
      <c r="B33" s="108"/>
      <c r="C33" s="108"/>
      <c r="D33" s="108"/>
      <c r="E33" s="108"/>
      <c r="F33" s="108"/>
      <c r="G33" s="108"/>
      <c r="H33" s="108"/>
      <c r="I33" s="108"/>
      <c r="J33" s="108"/>
      <c r="K33" s="33"/>
      <c r="M33" s="100"/>
      <c r="N33" s="100"/>
      <c r="O33" s="100"/>
      <c r="P33" s="100"/>
      <c r="Q33" s="100"/>
      <c r="R33" s="101"/>
      <c r="S33" s="101"/>
      <c r="T33" s="97"/>
      <c r="U33" s="97"/>
      <c r="V33" s="97"/>
      <c r="W33" s="97"/>
      <c r="X33" s="97"/>
      <c r="Y33" s="97"/>
    </row>
    <row r="34" spans="1:25" s="19" customFormat="1" ht="13.8" x14ac:dyDescent="0.3">
      <c r="A34" s="33"/>
      <c r="B34" s="106"/>
      <c r="C34" s="106"/>
      <c r="D34" s="107" t="s">
        <v>180</v>
      </c>
      <c r="E34" s="107"/>
      <c r="F34" s="107"/>
      <c r="G34" s="107"/>
      <c r="H34" s="107"/>
      <c r="I34" s="106"/>
      <c r="J34" s="106"/>
      <c r="K34" s="33"/>
      <c r="M34" s="100"/>
      <c r="N34" s="100"/>
      <c r="O34" s="100"/>
      <c r="P34" s="100"/>
      <c r="Q34" s="100"/>
      <c r="R34" s="101"/>
      <c r="S34" s="104"/>
      <c r="T34" s="97"/>
      <c r="U34" s="97"/>
      <c r="V34" s="97"/>
      <c r="W34" s="97"/>
      <c r="X34" s="97"/>
      <c r="Y34" s="97"/>
    </row>
    <row r="35" spans="1:25" s="19" customFormat="1" ht="13.8" x14ac:dyDescent="0.3">
      <c r="A35" s="33"/>
      <c r="B35" s="33"/>
      <c r="C35" s="33"/>
      <c r="I35" s="33"/>
      <c r="J35" s="33"/>
      <c r="K35" s="33"/>
      <c r="M35" s="100"/>
      <c r="N35" s="100"/>
      <c r="O35" s="100"/>
      <c r="P35" s="100"/>
      <c r="Q35" s="100"/>
      <c r="R35" s="101"/>
      <c r="S35" s="104"/>
      <c r="T35" s="97"/>
      <c r="U35" s="97"/>
      <c r="V35" s="97"/>
      <c r="W35" s="97"/>
      <c r="X35" s="97"/>
      <c r="Y35" s="97"/>
    </row>
    <row r="36" spans="1:25" s="19" customFormat="1" ht="12.75" customHeight="1" x14ac:dyDescent="0.3">
      <c r="A36" s="33"/>
      <c r="B36" s="34" t="s">
        <v>181</v>
      </c>
      <c r="C36" s="33"/>
      <c r="D36" s="33"/>
      <c r="E36" s="33"/>
      <c r="F36" s="105"/>
      <c r="G36" s="33"/>
      <c r="H36" s="33"/>
      <c r="I36" s="33"/>
      <c r="J36" s="33"/>
      <c r="K36" s="33"/>
      <c r="M36" s="100"/>
      <c r="N36" s="100"/>
      <c r="O36" s="100"/>
      <c r="P36" s="100"/>
      <c r="Q36" s="100"/>
      <c r="R36" s="101"/>
      <c r="S36" s="101"/>
      <c r="T36" s="97"/>
      <c r="U36" s="97"/>
      <c r="V36" s="97"/>
      <c r="W36" s="97"/>
      <c r="X36" s="97"/>
      <c r="Y36" s="97"/>
    </row>
    <row r="37" spans="1:25" s="19" customFormat="1" ht="13.8" x14ac:dyDescent="0.3">
      <c r="A37" s="33"/>
      <c r="B37" s="34"/>
      <c r="C37" s="33"/>
      <c r="D37" s="33"/>
      <c r="E37" s="33"/>
      <c r="F37" s="105"/>
      <c r="G37" s="33"/>
      <c r="H37" s="33"/>
      <c r="I37" s="33"/>
      <c r="J37" s="33"/>
      <c r="K37" s="33"/>
      <c r="M37" s="100"/>
      <c r="N37" s="100"/>
      <c r="O37" s="100"/>
      <c r="P37" s="100"/>
      <c r="Q37" s="100"/>
      <c r="R37" s="101"/>
      <c r="S37" s="101"/>
      <c r="T37" s="97"/>
      <c r="U37" s="97"/>
      <c r="V37" s="97"/>
      <c r="W37" s="97"/>
      <c r="X37" s="97"/>
      <c r="Y37" s="97"/>
    </row>
    <row r="38" spans="1:25" s="19" customFormat="1" ht="13.8" x14ac:dyDescent="0.3">
      <c r="A38" s="33"/>
      <c r="B38" s="108" t="s">
        <v>206</v>
      </c>
      <c r="C38" s="108"/>
      <c r="D38" s="108"/>
      <c r="E38" s="108"/>
      <c r="F38" s="108"/>
      <c r="G38" s="108"/>
      <c r="H38" s="108"/>
      <c r="I38" s="108"/>
      <c r="J38" s="108"/>
      <c r="K38" s="33"/>
      <c r="M38" s="100"/>
      <c r="N38" s="100"/>
      <c r="O38" s="100"/>
      <c r="P38" s="100"/>
      <c r="Q38" s="100"/>
      <c r="R38" s="101"/>
      <c r="S38" s="101"/>
      <c r="T38" s="97"/>
      <c r="U38" s="97"/>
      <c r="V38" s="97"/>
      <c r="W38" s="97"/>
      <c r="X38" s="97"/>
      <c r="Y38" s="97"/>
    </row>
    <row r="39" spans="1:25" s="19" customFormat="1" ht="13.8" x14ac:dyDescent="0.3">
      <c r="A39" s="33"/>
      <c r="B39" s="108"/>
      <c r="C39" s="108"/>
      <c r="D39" s="108"/>
      <c r="E39" s="108"/>
      <c r="F39" s="108"/>
      <c r="G39" s="108"/>
      <c r="H39" s="108"/>
      <c r="I39" s="108"/>
      <c r="J39" s="108"/>
      <c r="K39" s="33"/>
      <c r="M39" s="100"/>
      <c r="N39" s="100"/>
      <c r="O39" s="100"/>
      <c r="P39" s="100"/>
      <c r="Q39" s="100"/>
      <c r="R39" s="101"/>
      <c r="S39" s="101"/>
      <c r="T39" s="97"/>
      <c r="U39" s="97"/>
      <c r="V39" s="97"/>
      <c r="W39" s="97"/>
      <c r="X39" s="97"/>
      <c r="Y39" s="97"/>
    </row>
    <row r="40" spans="1:25" s="19" customFormat="1" ht="13.8" x14ac:dyDescent="0.3">
      <c r="A40" s="33"/>
      <c r="B40" s="106"/>
      <c r="C40" s="106"/>
      <c r="D40" s="106"/>
      <c r="E40" s="106"/>
      <c r="F40" s="106"/>
      <c r="G40" s="106"/>
      <c r="H40" s="106"/>
      <c r="I40" s="106"/>
      <c r="J40" s="106"/>
      <c r="K40" s="33"/>
      <c r="M40" s="100"/>
      <c r="N40" s="100"/>
      <c r="O40" s="100"/>
      <c r="P40" s="100"/>
      <c r="Q40" s="100"/>
      <c r="R40" s="101"/>
      <c r="S40" s="101"/>
      <c r="T40" s="97"/>
      <c r="U40" s="97"/>
      <c r="V40" s="97"/>
      <c r="W40" s="97"/>
      <c r="X40" s="97"/>
      <c r="Y40" s="97"/>
    </row>
    <row r="41" spans="1:25" s="19" customFormat="1" ht="13.8" x14ac:dyDescent="0.3">
      <c r="A41" s="33"/>
      <c r="B41" s="108" t="s">
        <v>207</v>
      </c>
      <c r="C41" s="108"/>
      <c r="D41" s="108"/>
      <c r="E41" s="108"/>
      <c r="F41" s="108"/>
      <c r="G41" s="108"/>
      <c r="H41" s="108"/>
      <c r="I41" s="108"/>
      <c r="J41" s="108"/>
      <c r="K41" s="33"/>
      <c r="M41" s="100"/>
      <c r="N41" s="100"/>
      <c r="O41" s="100"/>
      <c r="P41" s="100"/>
      <c r="Q41" s="100"/>
      <c r="R41" s="101"/>
      <c r="S41" s="101"/>
      <c r="T41" s="97"/>
      <c r="U41" s="97"/>
      <c r="V41" s="97"/>
      <c r="W41" s="97"/>
      <c r="X41" s="97"/>
      <c r="Y41" s="97"/>
    </row>
    <row r="42" spans="1:25" s="19" customFormat="1" ht="13.8" x14ac:dyDescent="0.3">
      <c r="A42" s="33"/>
      <c r="B42" s="108"/>
      <c r="C42" s="108"/>
      <c r="D42" s="108"/>
      <c r="E42" s="108"/>
      <c r="F42" s="108"/>
      <c r="G42" s="108"/>
      <c r="H42" s="108"/>
      <c r="I42" s="108"/>
      <c r="J42" s="108"/>
      <c r="K42" s="33"/>
      <c r="M42" s="100"/>
      <c r="N42" s="100"/>
      <c r="O42" s="100"/>
      <c r="P42" s="100"/>
      <c r="Q42" s="100"/>
      <c r="R42" s="101"/>
      <c r="S42" s="101"/>
      <c r="T42" s="97"/>
      <c r="U42" s="97"/>
      <c r="V42" s="97"/>
      <c r="W42" s="97"/>
      <c r="X42" s="97"/>
      <c r="Y42" s="97"/>
    </row>
    <row r="43" spans="1:25" s="19" customFormat="1" ht="13.8" x14ac:dyDescent="0.3">
      <c r="A43" s="33"/>
      <c r="B43" s="108"/>
      <c r="C43" s="108"/>
      <c r="D43" s="108"/>
      <c r="E43" s="108"/>
      <c r="F43" s="108"/>
      <c r="G43" s="108"/>
      <c r="H43" s="108"/>
      <c r="I43" s="108"/>
      <c r="J43" s="108"/>
      <c r="K43" s="33"/>
      <c r="M43" s="100"/>
      <c r="N43" s="100"/>
      <c r="O43" s="100"/>
      <c r="P43" s="100"/>
      <c r="Q43" s="100"/>
      <c r="R43" s="101"/>
      <c r="S43" s="101"/>
      <c r="T43" s="97"/>
      <c r="U43" s="97"/>
      <c r="V43" s="97"/>
      <c r="W43" s="97"/>
      <c r="X43" s="97"/>
      <c r="Y43" s="97"/>
    </row>
    <row r="44" spans="1:25" s="19" customFormat="1" ht="13.8" x14ac:dyDescent="0.3">
      <c r="A44" s="33"/>
      <c r="B44" s="106"/>
      <c r="C44" s="106"/>
      <c r="D44" s="106"/>
      <c r="E44" s="106"/>
      <c r="F44" s="106"/>
      <c r="G44" s="106"/>
      <c r="H44" s="106"/>
      <c r="I44" s="106"/>
      <c r="J44" s="106"/>
      <c r="K44" s="33"/>
      <c r="M44" s="100"/>
      <c r="N44" s="100"/>
      <c r="O44" s="100"/>
      <c r="P44" s="100"/>
      <c r="Q44" s="100"/>
      <c r="R44" s="101"/>
      <c r="S44" s="101"/>
      <c r="T44" s="97"/>
      <c r="U44" s="97"/>
      <c r="V44" s="97"/>
      <c r="W44" s="97"/>
      <c r="X44" s="97"/>
      <c r="Y44" s="97"/>
    </row>
    <row r="45" spans="1:25" s="19" customFormat="1" ht="12.75" customHeight="1" x14ac:dyDescent="0.3">
      <c r="A45" s="33"/>
      <c r="B45" s="108" t="s">
        <v>200</v>
      </c>
      <c r="C45" s="108"/>
      <c r="D45" s="108"/>
      <c r="E45" s="108"/>
      <c r="F45" s="108"/>
      <c r="G45" s="108"/>
      <c r="H45" s="108"/>
      <c r="I45" s="108"/>
      <c r="J45" s="108"/>
      <c r="K45" s="33"/>
      <c r="M45" s="100"/>
      <c r="N45" s="100"/>
      <c r="O45" s="100"/>
      <c r="P45" s="100"/>
      <c r="Q45" s="100"/>
      <c r="R45" s="101"/>
      <c r="S45" s="101"/>
      <c r="T45" s="97"/>
      <c r="U45" s="97"/>
      <c r="V45" s="97"/>
      <c r="W45" s="97"/>
      <c r="X45" s="97"/>
      <c r="Y45" s="97"/>
    </row>
    <row r="46" spans="1:25" s="19" customFormat="1" ht="13.8" x14ac:dyDescent="0.3">
      <c r="A46" s="33"/>
      <c r="B46" s="108"/>
      <c r="C46" s="108"/>
      <c r="D46" s="108"/>
      <c r="E46" s="108"/>
      <c r="F46" s="108"/>
      <c r="G46" s="108"/>
      <c r="H46" s="108"/>
      <c r="I46" s="108"/>
      <c r="J46" s="108"/>
      <c r="K46" s="33"/>
      <c r="M46" s="100"/>
      <c r="N46" s="100"/>
      <c r="O46" s="100"/>
      <c r="P46" s="100"/>
      <c r="Q46" s="100"/>
      <c r="R46" s="101"/>
      <c r="S46" s="101"/>
      <c r="T46" s="97"/>
      <c r="U46" s="97"/>
      <c r="V46" s="97"/>
      <c r="W46" s="97"/>
      <c r="X46" s="97"/>
      <c r="Y46" s="97"/>
    </row>
    <row r="47" spans="1:25" s="19" customFormat="1" ht="13.8" x14ac:dyDescent="0.3">
      <c r="A47" s="33"/>
      <c r="B47" s="108"/>
      <c r="C47" s="108"/>
      <c r="D47" s="108"/>
      <c r="E47" s="108"/>
      <c r="F47" s="108"/>
      <c r="G47" s="108"/>
      <c r="H47" s="108"/>
      <c r="I47" s="108"/>
      <c r="J47" s="108"/>
      <c r="K47" s="33"/>
      <c r="M47" s="100"/>
      <c r="N47" s="100"/>
      <c r="O47" s="100"/>
      <c r="P47" s="100"/>
      <c r="Q47" s="100"/>
      <c r="R47" s="101"/>
      <c r="S47" s="101"/>
      <c r="T47" s="97"/>
      <c r="U47" s="97"/>
      <c r="V47" s="97"/>
      <c r="W47" s="97"/>
      <c r="X47" s="97"/>
      <c r="Y47" s="97"/>
    </row>
    <row r="48" spans="1:25" s="19" customFormat="1" ht="12.75" customHeight="1" x14ac:dyDescent="0.3">
      <c r="A48" s="33"/>
      <c r="B48" s="108"/>
      <c r="C48" s="108"/>
      <c r="D48" s="108"/>
      <c r="E48" s="108"/>
      <c r="F48" s="108"/>
      <c r="G48" s="108"/>
      <c r="H48" s="108"/>
      <c r="I48" s="108"/>
      <c r="J48" s="108"/>
      <c r="K48" s="33"/>
      <c r="M48" s="100"/>
      <c r="N48" s="100"/>
      <c r="O48" s="100"/>
      <c r="P48" s="100"/>
      <c r="Q48" s="100"/>
      <c r="R48" s="101"/>
      <c r="S48" s="101"/>
      <c r="T48" s="97"/>
      <c r="U48" s="97"/>
      <c r="V48" s="97"/>
      <c r="W48" s="97"/>
      <c r="X48" s="97"/>
      <c r="Y48" s="97"/>
    </row>
    <row r="49" spans="1:25" s="19" customFormat="1" ht="13.8" x14ac:dyDescent="0.3">
      <c r="A49" s="33"/>
      <c r="B49" s="33" t="s">
        <v>208</v>
      </c>
      <c r="C49" s="33"/>
      <c r="D49" s="33"/>
      <c r="E49" s="33"/>
      <c r="F49" s="33"/>
      <c r="G49" s="33"/>
      <c r="H49" s="33"/>
      <c r="I49" s="33"/>
      <c r="J49" s="33"/>
      <c r="K49" s="33"/>
      <c r="M49" s="100"/>
      <c r="N49" s="100"/>
      <c r="O49" s="100"/>
      <c r="P49" s="100"/>
      <c r="Q49" s="100"/>
      <c r="R49" s="101"/>
      <c r="S49" s="101"/>
      <c r="T49" s="97"/>
      <c r="U49" s="97"/>
      <c r="V49" s="97"/>
      <c r="W49" s="97"/>
      <c r="X49" s="97"/>
      <c r="Y49" s="97"/>
    </row>
    <row r="50" spans="1:25" s="19" customFormat="1" ht="13.8" x14ac:dyDescent="0.3">
      <c r="A50" s="33"/>
      <c r="B50" s="33"/>
      <c r="C50" s="33"/>
      <c r="D50" s="33"/>
      <c r="F50" s="113" t="s">
        <v>209</v>
      </c>
      <c r="G50" s="105"/>
      <c r="H50" s="33"/>
      <c r="I50" s="33"/>
      <c r="J50" s="33"/>
      <c r="K50" s="33"/>
      <c r="M50" s="100"/>
      <c r="N50" s="100"/>
      <c r="O50" s="100"/>
      <c r="P50" s="100"/>
      <c r="Q50" s="100"/>
      <c r="R50" s="101"/>
      <c r="S50" s="101"/>
      <c r="T50" s="97"/>
      <c r="U50" s="97"/>
      <c r="V50" s="97"/>
      <c r="W50" s="97"/>
      <c r="X50" s="97"/>
      <c r="Y50" s="97"/>
    </row>
    <row r="51" spans="1:25" s="19" customFormat="1" ht="13.8" x14ac:dyDescent="0.3">
      <c r="A51" s="33"/>
      <c r="B51" s="33"/>
      <c r="C51" s="33"/>
      <c r="D51" s="33"/>
      <c r="E51" s="33"/>
      <c r="F51" s="33"/>
      <c r="G51" s="33"/>
      <c r="H51" s="33"/>
      <c r="I51" s="33"/>
      <c r="J51" s="33"/>
      <c r="K51" s="33"/>
      <c r="M51" s="100"/>
      <c r="N51" s="100"/>
      <c r="O51" s="100"/>
      <c r="P51" s="100"/>
      <c r="Q51" s="100"/>
      <c r="R51" s="101"/>
      <c r="S51" s="101"/>
      <c r="T51" s="97"/>
      <c r="U51" s="97"/>
      <c r="V51" s="97"/>
      <c r="W51" s="97"/>
      <c r="X51" s="97"/>
      <c r="Y51" s="97"/>
    </row>
    <row r="52" spans="1:25" s="19" customFormat="1" ht="12.75" customHeight="1" x14ac:dyDescent="0.3">
      <c r="A52" s="33"/>
      <c r="B52" s="34" t="s">
        <v>210</v>
      </c>
      <c r="C52" s="33"/>
      <c r="D52" s="33"/>
      <c r="E52" s="33"/>
      <c r="F52" s="33"/>
      <c r="G52" s="33"/>
      <c r="H52" s="33"/>
      <c r="I52" s="33"/>
      <c r="J52" s="33"/>
      <c r="K52" s="33"/>
      <c r="M52" s="100"/>
      <c r="N52" s="100"/>
      <c r="O52" s="100"/>
      <c r="P52" s="100"/>
      <c r="Q52" s="100"/>
      <c r="R52" s="101"/>
      <c r="S52" s="101"/>
      <c r="T52" s="97"/>
      <c r="U52" s="97"/>
      <c r="V52" s="97"/>
      <c r="W52" s="97"/>
      <c r="X52" s="97"/>
      <c r="Y52" s="97"/>
    </row>
    <row r="53" spans="1:25" s="19" customFormat="1" ht="13.8" x14ac:dyDescent="0.3">
      <c r="A53" s="33"/>
      <c r="B53" s="33"/>
      <c r="C53" s="33"/>
      <c r="D53" s="33"/>
      <c r="E53" s="33"/>
      <c r="F53" s="33"/>
      <c r="G53" s="33"/>
      <c r="H53" s="33"/>
      <c r="I53" s="33"/>
      <c r="J53" s="33"/>
      <c r="K53" s="33"/>
      <c r="M53" s="100"/>
      <c r="N53" s="100"/>
      <c r="O53" s="100"/>
      <c r="P53" s="100"/>
      <c r="Q53" s="100"/>
      <c r="R53" s="101"/>
      <c r="S53" s="101"/>
      <c r="T53" s="97"/>
      <c r="U53" s="97"/>
      <c r="V53" s="97"/>
      <c r="W53" s="97"/>
      <c r="X53" s="97"/>
      <c r="Y53" s="97"/>
    </row>
    <row r="54" spans="1:25" s="19" customFormat="1" ht="13.8" x14ac:dyDescent="0.3">
      <c r="A54" s="33"/>
      <c r="B54" s="114" t="s">
        <v>211</v>
      </c>
      <c r="C54" s="114"/>
      <c r="D54" s="114"/>
      <c r="E54" s="114"/>
      <c r="F54" s="114"/>
      <c r="G54" s="114"/>
      <c r="H54" s="114"/>
      <c r="I54" s="114"/>
      <c r="J54" s="114"/>
      <c r="K54" s="33"/>
      <c r="M54" s="100"/>
      <c r="N54" s="100"/>
      <c r="O54" s="100"/>
      <c r="P54" s="100"/>
      <c r="Q54" s="100"/>
      <c r="R54" s="101"/>
      <c r="S54" s="101"/>
      <c r="T54" s="97"/>
      <c r="U54" s="97"/>
      <c r="V54" s="97"/>
      <c r="W54" s="97"/>
      <c r="X54" s="97"/>
      <c r="Y54" s="97"/>
    </row>
    <row r="55" spans="1:25" s="19" customFormat="1" ht="13.8" x14ac:dyDescent="0.3">
      <c r="A55" s="33"/>
      <c r="B55" s="114"/>
      <c r="C55" s="114"/>
      <c r="D55" s="114"/>
      <c r="E55" s="114"/>
      <c r="F55" s="114"/>
      <c r="G55" s="114"/>
      <c r="H55" s="114"/>
      <c r="I55" s="114"/>
      <c r="J55" s="114"/>
      <c r="K55" s="33"/>
      <c r="M55" s="100"/>
      <c r="N55" s="100"/>
      <c r="O55" s="100"/>
      <c r="P55" s="100"/>
      <c r="Q55" s="100"/>
      <c r="R55" s="101"/>
      <c r="S55" s="101"/>
      <c r="T55" s="97"/>
      <c r="U55" s="97"/>
      <c r="V55" s="97"/>
      <c r="W55" s="97"/>
      <c r="X55" s="97"/>
      <c r="Y55" s="97"/>
    </row>
    <row r="56" spans="1:25" s="19" customFormat="1" ht="13.8" x14ac:dyDescent="0.3">
      <c r="A56" s="33"/>
      <c r="B56" s="114"/>
      <c r="C56" s="114"/>
      <c r="D56" s="114"/>
      <c r="E56" s="114"/>
      <c r="F56" s="114"/>
      <c r="G56" s="114"/>
      <c r="H56" s="114"/>
      <c r="I56" s="114"/>
      <c r="J56" s="114"/>
      <c r="K56" s="33"/>
      <c r="M56" s="100"/>
      <c r="N56" s="100"/>
      <c r="O56" s="115"/>
      <c r="P56" s="100"/>
      <c r="Q56" s="100"/>
      <c r="R56" s="101"/>
      <c r="S56" s="101"/>
      <c r="T56" s="97"/>
      <c r="U56" s="97"/>
      <c r="V56" s="97"/>
      <c r="W56" s="97"/>
      <c r="X56" s="97"/>
      <c r="Y56" s="97"/>
    </row>
    <row r="57" spans="1:25" s="19" customFormat="1" ht="13.8" x14ac:dyDescent="0.3">
      <c r="A57" s="33"/>
      <c r="B57" s="33"/>
      <c r="C57" s="33"/>
      <c r="D57" s="33"/>
      <c r="F57" s="105"/>
      <c r="G57" s="33"/>
      <c r="H57" s="33"/>
      <c r="I57" s="33"/>
      <c r="J57" s="33"/>
      <c r="K57" s="33"/>
      <c r="M57" s="100"/>
      <c r="N57" s="100"/>
      <c r="O57" s="100"/>
      <c r="P57" s="100"/>
      <c r="Q57" s="100"/>
      <c r="R57" s="101"/>
      <c r="S57" s="101"/>
      <c r="T57" s="97"/>
      <c r="U57" s="97"/>
      <c r="V57" s="97"/>
      <c r="W57" s="97"/>
      <c r="X57" s="97"/>
      <c r="Y57" s="97"/>
    </row>
    <row r="58" spans="1:25" s="19" customFormat="1" ht="13.8" x14ac:dyDescent="0.3">
      <c r="A58" s="33"/>
      <c r="B58" s="33"/>
      <c r="C58" s="33"/>
      <c r="D58" s="33"/>
      <c r="E58" s="33"/>
      <c r="F58" s="33"/>
      <c r="G58" s="33"/>
      <c r="H58" s="33"/>
      <c r="I58" s="33"/>
      <c r="J58" s="33"/>
      <c r="K58" s="33"/>
      <c r="M58" s="100"/>
      <c r="N58" s="100"/>
      <c r="O58" s="100"/>
      <c r="P58" s="100"/>
      <c r="Q58" s="100"/>
      <c r="R58" s="101"/>
      <c r="S58" s="101"/>
      <c r="T58" s="97"/>
      <c r="U58" s="97"/>
      <c r="V58" s="97"/>
      <c r="W58" s="97"/>
      <c r="X58" s="97"/>
      <c r="Y58" s="97"/>
    </row>
    <row r="59" spans="1:25" s="19" customFormat="1" ht="13.8" x14ac:dyDescent="0.3">
      <c r="K59" s="33"/>
      <c r="M59" s="100"/>
      <c r="N59" s="100"/>
      <c r="O59" s="116"/>
      <c r="P59" s="100"/>
      <c r="Q59" s="100"/>
      <c r="R59" s="101"/>
      <c r="S59" s="101"/>
      <c r="T59" s="97"/>
      <c r="U59" s="97"/>
      <c r="V59" s="97"/>
      <c r="W59" s="97"/>
      <c r="X59" s="97"/>
      <c r="Y59" s="97"/>
    </row>
    <row r="60" spans="1:25" s="19" customFormat="1" ht="13.8" x14ac:dyDescent="0.3">
      <c r="A60" s="33"/>
      <c r="B60" s="33" t="s">
        <v>212</v>
      </c>
      <c r="C60" s="33"/>
      <c r="D60" s="33"/>
      <c r="E60" s="33"/>
      <c r="F60" s="33"/>
      <c r="G60" s="33"/>
      <c r="H60" s="33"/>
      <c r="I60" s="33"/>
      <c r="J60" s="33"/>
      <c r="K60" s="33"/>
      <c r="M60" s="100"/>
      <c r="N60" s="100"/>
      <c r="O60" s="100"/>
      <c r="P60" s="100"/>
      <c r="Q60" s="100"/>
      <c r="R60" s="101"/>
      <c r="S60" s="101"/>
      <c r="T60" s="97"/>
      <c r="U60" s="97"/>
      <c r="V60" s="97"/>
      <c r="W60" s="97"/>
      <c r="X60" s="97"/>
      <c r="Y60" s="97"/>
    </row>
    <row r="61" spans="1:25" s="19" customFormat="1" ht="13.8" x14ac:dyDescent="0.3">
      <c r="A61" s="33"/>
      <c r="C61" s="33"/>
      <c r="D61" s="33"/>
      <c r="F61" s="113" t="s">
        <v>213</v>
      </c>
      <c r="G61" s="95"/>
      <c r="H61" s="33"/>
      <c r="I61" s="33"/>
      <c r="J61" s="33"/>
      <c r="K61" s="33"/>
      <c r="M61" s="100"/>
      <c r="N61" s="100"/>
      <c r="O61" s="100"/>
      <c r="P61" s="100"/>
      <c r="Q61" s="100"/>
      <c r="R61" s="101"/>
      <c r="S61" s="101"/>
      <c r="T61" s="97"/>
      <c r="U61" s="97"/>
      <c r="V61" s="97"/>
      <c r="W61" s="97"/>
      <c r="X61" s="97"/>
      <c r="Y61" s="97"/>
    </row>
    <row r="62" spans="1:25" s="19" customFormat="1" ht="13.8" x14ac:dyDescent="0.3">
      <c r="A62" s="33"/>
      <c r="B62" s="33"/>
      <c r="C62" s="33"/>
      <c r="D62" s="33"/>
      <c r="E62" s="33"/>
      <c r="F62" s="33"/>
      <c r="G62" s="33"/>
      <c r="H62" s="33"/>
      <c r="I62" s="33"/>
      <c r="J62" s="33"/>
      <c r="K62" s="33"/>
      <c r="M62" s="100"/>
      <c r="N62" s="100"/>
      <c r="O62" s="100"/>
      <c r="P62" s="100"/>
      <c r="Q62" s="100"/>
      <c r="R62" s="101"/>
      <c r="S62" s="101"/>
      <c r="T62" s="97"/>
      <c r="U62" s="97"/>
      <c r="V62" s="97"/>
      <c r="W62" s="97"/>
      <c r="X62" s="97"/>
      <c r="Y62" s="9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62"/>
  <sheetViews>
    <sheetView view="pageBreakPreview" zoomScale="85" zoomScaleNormal="100" zoomScaleSheetLayoutView="85" workbookViewId="0">
      <selection activeCell="H15" sqref="H15"/>
    </sheetView>
  </sheetViews>
  <sheetFormatPr defaultColWidth="9.109375" defaultRowHeight="15.6" x14ac:dyDescent="0.3"/>
  <cols>
    <col min="1" max="2" width="9.109375" style="37"/>
    <col min="3" max="3" width="9.5546875" style="37" bestFit="1" customWidth="1"/>
    <col min="4" max="11" width="9.109375" style="37"/>
    <col min="12" max="12" width="5.44140625" style="45" customWidth="1"/>
    <col min="13" max="16" width="5.44140625" style="41" customWidth="1"/>
    <col min="17" max="16384" width="9.109375" style="37"/>
  </cols>
  <sheetData>
    <row r="1" spans="1:16" x14ac:dyDescent="0.3">
      <c r="A1" s="35" t="s">
        <v>72</v>
      </c>
      <c r="B1" s="38" t="s">
        <v>10</v>
      </c>
      <c r="D1" s="35" t="s">
        <v>73</v>
      </c>
      <c r="E1" s="38">
        <v>9</v>
      </c>
      <c r="M1" s="40"/>
      <c r="N1" s="40"/>
      <c r="O1" s="40"/>
      <c r="P1" s="40"/>
    </row>
    <row r="2" spans="1:16" x14ac:dyDescent="0.3">
      <c r="A2" s="35" t="s">
        <v>74</v>
      </c>
      <c r="B2" s="38" t="s">
        <v>71</v>
      </c>
      <c r="D2" s="35" t="s">
        <v>75</v>
      </c>
      <c r="E2" s="38" t="s">
        <v>173</v>
      </c>
    </row>
    <row r="3" spans="1:16" x14ac:dyDescent="0.3">
      <c r="A3" s="35" t="s">
        <v>7</v>
      </c>
      <c r="B3" s="38" t="s">
        <v>165</v>
      </c>
      <c r="D3" s="35" t="s">
        <v>9</v>
      </c>
      <c r="E3" s="38" t="s">
        <v>166</v>
      </c>
    </row>
    <row r="4" spans="1:16" x14ac:dyDescent="0.3">
      <c r="A4" s="37" t="s">
        <v>24</v>
      </c>
      <c r="B4" s="47">
        <v>1</v>
      </c>
      <c r="D4" s="35" t="s">
        <v>76</v>
      </c>
      <c r="E4" s="44" t="s">
        <v>89</v>
      </c>
    </row>
    <row r="5" spans="1:16" x14ac:dyDescent="0.3">
      <c r="A5" s="35"/>
      <c r="B5" s="86"/>
      <c r="D5" s="35"/>
      <c r="E5" s="46"/>
      <c r="M5" s="41">
        <v>0</v>
      </c>
    </row>
    <row r="6" spans="1:16" x14ac:dyDescent="0.3">
      <c r="B6" s="47"/>
    </row>
    <row r="8" spans="1:16" s="45" customFormat="1" ht="13.8" x14ac:dyDescent="0.3">
      <c r="A8" s="24"/>
      <c r="B8" s="19"/>
      <c r="C8" s="19"/>
      <c r="D8" s="19"/>
      <c r="E8" s="48" t="s">
        <v>72</v>
      </c>
      <c r="F8" s="49" t="str">
        <f>$B$1</f>
        <v>R. Abbott</v>
      </c>
      <c r="H8" s="50"/>
      <c r="I8" s="48" t="s">
        <v>78</v>
      </c>
      <c r="J8" s="51" t="str">
        <f>$E$2</f>
        <v>AA-SM-221</v>
      </c>
      <c r="K8" s="52"/>
      <c r="L8" s="39"/>
      <c r="M8" s="41"/>
      <c r="N8" s="41"/>
      <c r="O8" s="41"/>
      <c r="P8" s="41"/>
    </row>
    <row r="9" spans="1:16" s="45" customFormat="1" ht="13.8" x14ac:dyDescent="0.3">
      <c r="A9" s="19"/>
      <c r="B9" s="19"/>
      <c r="C9" s="19"/>
      <c r="D9" s="19"/>
      <c r="E9" s="48" t="s">
        <v>74</v>
      </c>
      <c r="F9" s="50" t="str">
        <f>$B$2</f>
        <v xml:space="preserve"> </v>
      </c>
      <c r="H9" s="50"/>
      <c r="I9" s="48" t="s">
        <v>79</v>
      </c>
      <c r="J9" s="52" t="str">
        <f>$E$3</f>
        <v>IR</v>
      </c>
      <c r="K9" s="52"/>
      <c r="L9" s="39"/>
      <c r="M9" s="41">
        <v>1</v>
      </c>
      <c r="N9" s="41"/>
      <c r="O9" s="41"/>
      <c r="P9" s="41"/>
    </row>
    <row r="10" spans="1:16" s="45" customFormat="1" ht="13.8" x14ac:dyDescent="0.3">
      <c r="A10" s="19"/>
      <c r="B10" s="19"/>
      <c r="C10" s="19"/>
      <c r="D10" s="19"/>
      <c r="E10" s="48" t="s">
        <v>7</v>
      </c>
      <c r="F10" s="50" t="str">
        <f>$B$3</f>
        <v>25/04/2009</v>
      </c>
      <c r="H10" s="50"/>
      <c r="I10" s="48" t="s">
        <v>80</v>
      </c>
      <c r="J10" s="49" t="str">
        <f>$B$5&amp;L10&amp;" of "&amp;$B$5&amp;$E$1</f>
        <v>1 of 9</v>
      </c>
      <c r="K10" s="50"/>
      <c r="L10" s="39">
        <f>SUM($M$1:M9)</f>
        <v>1</v>
      </c>
      <c r="M10" s="41"/>
      <c r="N10" s="41"/>
      <c r="O10" s="41"/>
      <c r="P10" s="41"/>
    </row>
    <row r="11" spans="1:16" s="45" customFormat="1" ht="13.8" x14ac:dyDescent="0.3">
      <c r="L11" s="39"/>
      <c r="M11" s="41"/>
      <c r="N11" s="41"/>
      <c r="O11" s="41"/>
      <c r="P11" s="41"/>
    </row>
    <row r="12" spans="1:16" s="45" customFormat="1" ht="13.8" x14ac:dyDescent="0.3">
      <c r="I12" s="53"/>
      <c r="J12" s="49"/>
      <c r="M12" s="41"/>
      <c r="N12" s="41"/>
      <c r="O12" s="41"/>
      <c r="P12" s="41"/>
    </row>
    <row r="13" spans="1:16" x14ac:dyDescent="0.3">
      <c r="B13" s="38" t="str">
        <f>($B$4)&amp;".0 "&amp;$E$4</f>
        <v>1.0 REFERENCES AND APPLICABLE DOCUMENTS</v>
      </c>
    </row>
    <row r="14" spans="1:16" s="45" customFormat="1" ht="13.8" x14ac:dyDescent="0.3">
      <c r="M14" s="41"/>
      <c r="N14" s="41"/>
      <c r="O14" s="41"/>
      <c r="P14" s="41"/>
    </row>
    <row r="15" spans="1:16" x14ac:dyDescent="0.3">
      <c r="B15" s="92" t="s">
        <v>88</v>
      </c>
      <c r="D15" s="38" t="s">
        <v>87</v>
      </c>
    </row>
    <row r="16" spans="1:16" s="45" customFormat="1" ht="13.8" x14ac:dyDescent="0.3">
      <c r="B16" s="39"/>
      <c r="M16" s="41"/>
      <c r="N16" s="41"/>
      <c r="O16" s="41"/>
      <c r="P16" s="41"/>
    </row>
    <row r="17" spans="2:16" s="45" customFormat="1" ht="13.8" x14ac:dyDescent="0.3">
      <c r="B17" s="39">
        <v>1</v>
      </c>
      <c r="D17" s="109" t="s">
        <v>162</v>
      </c>
      <c r="E17" s="109"/>
      <c r="F17" s="109"/>
      <c r="G17" s="109"/>
      <c r="H17" s="109"/>
      <c r="I17" s="109"/>
      <c r="J17" s="109"/>
      <c r="M17" s="41"/>
      <c r="N17" s="41"/>
      <c r="O17" s="41"/>
      <c r="P17" s="41"/>
    </row>
    <row r="18" spans="2:16" s="45" customFormat="1" ht="13.8" x14ac:dyDescent="0.3">
      <c r="B18" s="39"/>
      <c r="D18" s="109"/>
      <c r="E18" s="109"/>
      <c r="F18" s="109"/>
      <c r="G18" s="109"/>
      <c r="H18" s="109"/>
      <c r="I18" s="109"/>
      <c r="J18" s="109"/>
      <c r="M18" s="41"/>
      <c r="N18" s="41"/>
      <c r="O18" s="41"/>
      <c r="P18" s="41"/>
    </row>
    <row r="19" spans="2:16" s="45" customFormat="1" ht="13.8" x14ac:dyDescent="0.3">
      <c r="B19" s="39"/>
      <c r="D19" s="109"/>
      <c r="E19" s="109"/>
      <c r="F19" s="109"/>
      <c r="G19" s="109"/>
      <c r="H19" s="109"/>
      <c r="I19" s="109"/>
      <c r="J19" s="109"/>
      <c r="M19" s="41"/>
      <c r="N19" s="41"/>
      <c r="O19" s="41"/>
      <c r="P19" s="41"/>
    </row>
    <row r="20" spans="2:16" s="45" customFormat="1" ht="13.8" x14ac:dyDescent="0.3">
      <c r="B20" s="39">
        <f>B17+1</f>
        <v>2</v>
      </c>
      <c r="D20" s="109" t="s">
        <v>86</v>
      </c>
      <c r="E20" s="109"/>
      <c r="F20" s="109"/>
      <c r="G20" s="109"/>
      <c r="H20" s="109"/>
      <c r="I20" s="109"/>
      <c r="J20" s="109"/>
      <c r="M20" s="41"/>
      <c r="N20" s="41"/>
      <c r="O20" s="41"/>
      <c r="P20" s="41"/>
    </row>
    <row r="21" spans="2:16" s="45" customFormat="1" ht="13.8" x14ac:dyDescent="0.3">
      <c r="B21" s="39"/>
      <c r="D21" s="109"/>
      <c r="E21" s="109"/>
      <c r="F21" s="109"/>
      <c r="G21" s="109"/>
      <c r="H21" s="109"/>
      <c r="I21" s="109"/>
      <c r="J21" s="109"/>
      <c r="M21" s="41"/>
      <c r="N21" s="41"/>
      <c r="O21" s="41"/>
      <c r="P21" s="41"/>
    </row>
    <row r="22" spans="2:16" s="45" customFormat="1" ht="13.8" x14ac:dyDescent="0.3">
      <c r="B22" s="39"/>
      <c r="D22" s="109"/>
      <c r="E22" s="109"/>
      <c r="F22" s="109"/>
      <c r="G22" s="109"/>
      <c r="H22" s="109"/>
      <c r="I22" s="109"/>
      <c r="J22" s="109"/>
      <c r="M22" s="41"/>
      <c r="N22" s="41"/>
      <c r="O22" s="41"/>
      <c r="P22" s="41"/>
    </row>
    <row r="23" spans="2:16" s="45" customFormat="1" ht="13.8" x14ac:dyDescent="0.3">
      <c r="B23" s="39">
        <f>B20+1</f>
        <v>3</v>
      </c>
      <c r="D23" s="109" t="s">
        <v>85</v>
      </c>
      <c r="E23" s="109"/>
      <c r="F23" s="109"/>
      <c r="G23" s="109"/>
      <c r="H23" s="109"/>
      <c r="I23" s="109"/>
      <c r="J23" s="109"/>
      <c r="M23" s="41"/>
      <c r="N23" s="41"/>
      <c r="O23" s="41"/>
      <c r="P23" s="41"/>
    </row>
    <row r="24" spans="2:16" s="45" customFormat="1" ht="13.8" x14ac:dyDescent="0.3">
      <c r="B24" s="39"/>
      <c r="D24" s="109"/>
      <c r="E24" s="109"/>
      <c r="F24" s="109"/>
      <c r="G24" s="109"/>
      <c r="H24" s="109"/>
      <c r="I24" s="109"/>
      <c r="J24" s="109"/>
      <c r="M24" s="41"/>
      <c r="N24" s="41"/>
      <c r="O24" s="41"/>
      <c r="P24" s="41"/>
    </row>
    <row r="25" spans="2:16" s="45" customFormat="1" ht="13.8" x14ac:dyDescent="0.3">
      <c r="B25" s="39"/>
      <c r="D25" s="109"/>
      <c r="E25" s="109"/>
      <c r="F25" s="109"/>
      <c r="G25" s="109"/>
      <c r="H25" s="109"/>
      <c r="I25" s="109"/>
      <c r="J25" s="109"/>
      <c r="M25" s="41"/>
      <c r="N25" s="41"/>
      <c r="O25" s="41"/>
      <c r="P25" s="41"/>
    </row>
    <row r="26" spans="2:16" s="45" customFormat="1" ht="13.8" x14ac:dyDescent="0.3">
      <c r="B26" s="39">
        <f>B23+1</f>
        <v>4</v>
      </c>
      <c r="D26" s="109" t="s">
        <v>84</v>
      </c>
      <c r="E26" s="109"/>
      <c r="F26" s="109"/>
      <c r="G26" s="109"/>
      <c r="H26" s="109"/>
      <c r="I26" s="109"/>
      <c r="J26" s="109"/>
      <c r="M26" s="41"/>
      <c r="N26" s="41"/>
      <c r="O26" s="41"/>
      <c r="P26" s="41"/>
    </row>
    <row r="27" spans="2:16" s="45" customFormat="1" ht="13.8" x14ac:dyDescent="0.3">
      <c r="B27" s="39"/>
      <c r="D27" s="109"/>
      <c r="E27" s="109"/>
      <c r="F27" s="109"/>
      <c r="G27" s="109"/>
      <c r="H27" s="109"/>
      <c r="I27" s="109"/>
      <c r="J27" s="109"/>
      <c r="M27" s="41"/>
      <c r="N27" s="41"/>
      <c r="O27" s="41"/>
      <c r="P27" s="41"/>
    </row>
    <row r="28" spans="2:16" s="45" customFormat="1" ht="13.8" x14ac:dyDescent="0.3">
      <c r="B28" s="39"/>
      <c r="D28" s="109"/>
      <c r="E28" s="109"/>
      <c r="F28" s="109"/>
      <c r="G28" s="109"/>
      <c r="H28" s="109"/>
      <c r="I28" s="109"/>
      <c r="J28" s="109"/>
      <c r="M28" s="41"/>
      <c r="N28" s="41"/>
      <c r="O28" s="41"/>
      <c r="P28" s="41"/>
    </row>
    <row r="29" spans="2:16" s="45" customFormat="1" ht="13.8" x14ac:dyDescent="0.3">
      <c r="B29" s="39">
        <f>B26+1</f>
        <v>5</v>
      </c>
      <c r="D29" s="109" t="s">
        <v>83</v>
      </c>
      <c r="E29" s="109"/>
      <c r="F29" s="109"/>
      <c r="G29" s="109"/>
      <c r="H29" s="109"/>
      <c r="I29" s="109"/>
      <c r="J29" s="109"/>
      <c r="M29" s="41"/>
      <c r="N29" s="41"/>
      <c r="O29" s="41"/>
      <c r="P29" s="41"/>
    </row>
    <row r="30" spans="2:16" s="45" customFormat="1" ht="13.8" x14ac:dyDescent="0.3">
      <c r="B30" s="39"/>
      <c r="D30" s="109"/>
      <c r="E30" s="109"/>
      <c r="F30" s="109"/>
      <c r="G30" s="109"/>
      <c r="H30" s="109"/>
      <c r="I30" s="109"/>
      <c r="J30" s="109"/>
      <c r="M30" s="41"/>
      <c r="N30" s="41"/>
      <c r="O30" s="41"/>
      <c r="P30" s="41"/>
    </row>
    <row r="31" spans="2:16" s="45" customFormat="1" ht="13.8" x14ac:dyDescent="0.3">
      <c r="B31" s="39"/>
      <c r="D31" s="109"/>
      <c r="E31" s="109"/>
      <c r="F31" s="109"/>
      <c r="G31" s="109"/>
      <c r="H31" s="109"/>
      <c r="I31" s="109"/>
      <c r="J31" s="109"/>
      <c r="M31" s="41"/>
      <c r="N31" s="41"/>
      <c r="O31" s="41"/>
      <c r="P31" s="41"/>
    </row>
    <row r="32" spans="2:16" s="45" customFormat="1" ht="13.8" x14ac:dyDescent="0.3">
      <c r="B32" s="39">
        <f>B29+1</f>
        <v>6</v>
      </c>
      <c r="D32" s="109" t="s">
        <v>82</v>
      </c>
      <c r="E32" s="109"/>
      <c r="F32" s="109"/>
      <c r="G32" s="109"/>
      <c r="H32" s="109"/>
      <c r="I32" s="109"/>
      <c r="J32" s="109"/>
      <c r="M32" s="41"/>
      <c r="N32" s="41"/>
      <c r="O32" s="41"/>
      <c r="P32" s="41"/>
    </row>
    <row r="33" spans="2:16" s="45" customFormat="1" ht="13.8" x14ac:dyDescent="0.3">
      <c r="B33" s="39"/>
      <c r="D33" s="109"/>
      <c r="E33" s="109"/>
      <c r="F33" s="109"/>
      <c r="G33" s="109"/>
      <c r="H33" s="109"/>
      <c r="I33" s="109"/>
      <c r="J33" s="109"/>
      <c r="M33" s="41"/>
      <c r="N33" s="41"/>
      <c r="O33" s="41"/>
      <c r="P33" s="41"/>
    </row>
    <row r="34" spans="2:16" s="45" customFormat="1" ht="13.8" x14ac:dyDescent="0.3">
      <c r="B34" s="39"/>
      <c r="D34" s="109"/>
      <c r="E34" s="109"/>
      <c r="F34" s="109"/>
      <c r="G34" s="109"/>
      <c r="H34" s="109"/>
      <c r="I34" s="109"/>
      <c r="J34" s="109"/>
      <c r="M34" s="41"/>
      <c r="N34" s="41"/>
      <c r="O34" s="41"/>
      <c r="P34" s="41"/>
    </row>
    <row r="35" spans="2:16" s="45" customFormat="1" ht="13.8" x14ac:dyDescent="0.3">
      <c r="B35" s="39">
        <f>B32+1</f>
        <v>7</v>
      </c>
      <c r="D35" s="109" t="s">
        <v>90</v>
      </c>
      <c r="E35" s="109"/>
      <c r="F35" s="109"/>
      <c r="G35" s="109"/>
      <c r="H35" s="109"/>
      <c r="I35" s="109"/>
      <c r="J35" s="109"/>
      <c r="M35" s="41"/>
      <c r="N35" s="41"/>
      <c r="O35" s="41"/>
      <c r="P35" s="41"/>
    </row>
    <row r="36" spans="2:16" s="45" customFormat="1" ht="13.8" x14ac:dyDescent="0.3">
      <c r="B36" s="39"/>
      <c r="D36" s="109"/>
      <c r="E36" s="109"/>
      <c r="F36" s="109"/>
      <c r="G36" s="109"/>
      <c r="H36" s="109"/>
      <c r="I36" s="109"/>
      <c r="J36" s="109"/>
      <c r="M36" s="41"/>
      <c r="N36" s="41"/>
      <c r="O36" s="41"/>
      <c r="P36" s="41"/>
    </row>
    <row r="37" spans="2:16" s="45" customFormat="1" ht="13.8" x14ac:dyDescent="0.3">
      <c r="B37" s="39"/>
      <c r="D37" s="109"/>
      <c r="E37" s="109"/>
      <c r="F37" s="109"/>
      <c r="G37" s="109"/>
      <c r="H37" s="109"/>
      <c r="I37" s="109"/>
      <c r="J37" s="109"/>
      <c r="M37" s="41"/>
      <c r="N37" s="41"/>
      <c r="O37" s="41"/>
      <c r="P37" s="41"/>
    </row>
    <row r="38" spans="2:16" s="45" customFormat="1" ht="13.8" x14ac:dyDescent="0.3">
      <c r="B38" s="39">
        <f>B35+1</f>
        <v>8</v>
      </c>
      <c r="D38" s="109" t="s">
        <v>95</v>
      </c>
      <c r="E38" s="109"/>
      <c r="F38" s="109"/>
      <c r="G38" s="109"/>
      <c r="H38" s="109"/>
      <c r="I38" s="109"/>
      <c r="J38" s="109"/>
      <c r="M38" s="41"/>
      <c r="N38" s="41"/>
      <c r="O38" s="41"/>
      <c r="P38" s="41"/>
    </row>
    <row r="39" spans="2:16" s="45" customFormat="1" ht="13.8" x14ac:dyDescent="0.3">
      <c r="B39" s="39"/>
      <c r="D39" s="109"/>
      <c r="E39" s="109"/>
      <c r="F39" s="109"/>
      <c r="G39" s="109"/>
      <c r="H39" s="109"/>
      <c r="I39" s="109"/>
      <c r="J39" s="109"/>
      <c r="M39" s="41"/>
      <c r="N39" s="41"/>
      <c r="O39" s="41"/>
      <c r="P39" s="41"/>
    </row>
    <row r="40" spans="2:16" s="45" customFormat="1" ht="13.8" x14ac:dyDescent="0.3">
      <c r="B40" s="39"/>
      <c r="D40" s="109"/>
      <c r="E40" s="109"/>
      <c r="F40" s="109"/>
      <c r="G40" s="109"/>
      <c r="H40" s="109"/>
      <c r="I40" s="109"/>
      <c r="J40" s="109"/>
      <c r="M40" s="41"/>
      <c r="N40" s="41"/>
      <c r="O40" s="41"/>
      <c r="P40" s="41"/>
    </row>
    <row r="41" spans="2:16" s="45" customFormat="1" ht="13.8" x14ac:dyDescent="0.3">
      <c r="B41" s="39">
        <f>B38+1</f>
        <v>9</v>
      </c>
      <c r="C41" s="93"/>
      <c r="D41" s="109" t="s">
        <v>91</v>
      </c>
      <c r="E41" s="109"/>
      <c r="F41" s="109"/>
      <c r="G41" s="109"/>
      <c r="H41" s="109"/>
      <c r="I41" s="109"/>
      <c r="J41" s="109"/>
      <c r="M41" s="41"/>
      <c r="N41" s="41"/>
      <c r="O41" s="41"/>
      <c r="P41" s="41"/>
    </row>
    <row r="42" spans="2:16" s="45" customFormat="1" ht="13.8" x14ac:dyDescent="0.3">
      <c r="B42" s="39"/>
      <c r="C42" s="93"/>
      <c r="D42" s="109"/>
      <c r="E42" s="109"/>
      <c r="F42" s="109"/>
      <c r="G42" s="109"/>
      <c r="H42" s="109"/>
      <c r="I42" s="109"/>
      <c r="J42" s="109"/>
      <c r="M42" s="41"/>
      <c r="N42" s="41"/>
      <c r="O42" s="41"/>
      <c r="P42" s="41"/>
    </row>
    <row r="43" spans="2:16" s="45" customFormat="1" ht="13.8" x14ac:dyDescent="0.3">
      <c r="B43" s="39"/>
      <c r="C43" s="39"/>
      <c r="D43" s="109"/>
      <c r="E43" s="109"/>
      <c r="F43" s="109"/>
      <c r="G43" s="109"/>
      <c r="H43" s="109"/>
      <c r="I43" s="109"/>
      <c r="J43" s="109"/>
      <c r="M43" s="41"/>
      <c r="N43" s="41"/>
      <c r="O43" s="41"/>
      <c r="P43" s="41"/>
    </row>
    <row r="44" spans="2:16" s="45" customFormat="1" ht="13.8" x14ac:dyDescent="0.3">
      <c r="B44" s="39">
        <f>B41+1</f>
        <v>10</v>
      </c>
      <c r="C44" s="39"/>
      <c r="D44" s="109" t="s">
        <v>93</v>
      </c>
      <c r="E44" s="109"/>
      <c r="F44" s="109"/>
      <c r="G44" s="109"/>
      <c r="H44" s="109"/>
      <c r="I44" s="109"/>
      <c r="J44" s="109"/>
      <c r="M44" s="41"/>
      <c r="N44" s="41"/>
      <c r="O44" s="41"/>
      <c r="P44" s="41"/>
    </row>
    <row r="45" spans="2:16" s="45" customFormat="1" ht="13.8" x14ac:dyDescent="0.3">
      <c r="B45" s="39"/>
      <c r="C45" s="39"/>
      <c r="D45" s="109"/>
      <c r="E45" s="109"/>
      <c r="F45" s="109"/>
      <c r="G45" s="109"/>
      <c r="H45" s="109"/>
      <c r="I45" s="109"/>
      <c r="J45" s="109"/>
      <c r="M45" s="41"/>
      <c r="N45" s="41"/>
      <c r="O45" s="41"/>
      <c r="P45" s="41"/>
    </row>
    <row r="46" spans="2:16" s="45" customFormat="1" ht="13.8" x14ac:dyDescent="0.3">
      <c r="B46" s="39"/>
      <c r="C46" s="84"/>
      <c r="D46" s="109"/>
      <c r="E46" s="109"/>
      <c r="F46" s="109"/>
      <c r="G46" s="109"/>
      <c r="H46" s="109"/>
      <c r="I46" s="109"/>
      <c r="J46" s="109"/>
      <c r="M46" s="41"/>
      <c r="N46" s="41"/>
      <c r="O46" s="41"/>
      <c r="P46" s="41"/>
    </row>
    <row r="47" spans="2:16" s="45" customFormat="1" ht="13.8" x14ac:dyDescent="0.3">
      <c r="B47" s="39">
        <f>B44+1</f>
        <v>11</v>
      </c>
      <c r="C47" s="39"/>
      <c r="D47" s="109" t="s">
        <v>81</v>
      </c>
      <c r="E47" s="109"/>
      <c r="F47" s="109"/>
      <c r="G47" s="109"/>
      <c r="H47" s="109"/>
      <c r="I47" s="109"/>
      <c r="J47" s="109"/>
      <c r="M47" s="41"/>
      <c r="N47" s="41"/>
      <c r="O47" s="41"/>
      <c r="P47" s="41"/>
    </row>
    <row r="48" spans="2:16" s="45" customFormat="1" ht="13.8" x14ac:dyDescent="0.3">
      <c r="B48" s="39"/>
      <c r="C48" s="39"/>
      <c r="D48" s="109"/>
      <c r="E48" s="109"/>
      <c r="F48" s="109"/>
      <c r="G48" s="109"/>
      <c r="H48" s="109"/>
      <c r="I48" s="109"/>
      <c r="J48" s="109"/>
      <c r="M48" s="41"/>
      <c r="N48" s="41"/>
      <c r="O48" s="41"/>
      <c r="P48" s="41"/>
    </row>
    <row r="49" spans="2:16" s="45" customFormat="1" ht="13.8" x14ac:dyDescent="0.3">
      <c r="B49" s="39"/>
      <c r="C49" s="39"/>
      <c r="D49" s="109"/>
      <c r="E49" s="109"/>
      <c r="F49" s="109"/>
      <c r="G49" s="109"/>
      <c r="H49" s="109"/>
      <c r="I49" s="109"/>
      <c r="J49" s="109"/>
      <c r="M49" s="41"/>
      <c r="N49" s="41"/>
      <c r="O49" s="41"/>
      <c r="P49" s="41"/>
    </row>
    <row r="50" spans="2:16" s="45" customFormat="1" ht="13.8" x14ac:dyDescent="0.3">
      <c r="B50" s="39">
        <f>B47+1</f>
        <v>12</v>
      </c>
      <c r="C50" s="39"/>
      <c r="D50" s="109" t="s">
        <v>162</v>
      </c>
      <c r="E50" s="109"/>
      <c r="F50" s="109"/>
      <c r="G50" s="109"/>
      <c r="H50" s="109"/>
      <c r="I50" s="109"/>
      <c r="J50" s="109"/>
      <c r="M50" s="41"/>
      <c r="N50" s="41"/>
      <c r="O50" s="41"/>
      <c r="P50" s="41"/>
    </row>
    <row r="51" spans="2:16" s="45" customFormat="1" ht="13.8" x14ac:dyDescent="0.3">
      <c r="B51" s="39"/>
      <c r="C51" s="39"/>
      <c r="D51" s="109"/>
      <c r="E51" s="109"/>
      <c r="F51" s="109"/>
      <c r="G51" s="109"/>
      <c r="H51" s="109"/>
      <c r="I51" s="109"/>
      <c r="J51" s="109"/>
      <c r="M51" s="41"/>
      <c r="N51" s="41"/>
      <c r="O51" s="41"/>
      <c r="P51" s="41"/>
    </row>
    <row r="52" spans="2:16" s="45" customFormat="1" ht="13.8" x14ac:dyDescent="0.3">
      <c r="B52" s="39"/>
      <c r="D52" s="109"/>
      <c r="E52" s="109"/>
      <c r="F52" s="109"/>
      <c r="G52" s="109"/>
      <c r="H52" s="109"/>
      <c r="I52" s="109"/>
      <c r="J52" s="109"/>
      <c r="M52" s="41"/>
      <c r="N52" s="41"/>
      <c r="O52" s="41"/>
      <c r="P52" s="41"/>
    </row>
    <row r="53" spans="2:16" s="45" customFormat="1" ht="12.75" customHeight="1" x14ac:dyDescent="0.3">
      <c r="B53" s="39">
        <f>B50+1</f>
        <v>13</v>
      </c>
      <c r="D53" s="109" t="s">
        <v>162</v>
      </c>
      <c r="E53" s="109"/>
      <c r="F53" s="109"/>
      <c r="G53" s="109"/>
      <c r="H53" s="109"/>
      <c r="I53" s="109"/>
      <c r="J53" s="109"/>
      <c r="M53" s="41"/>
      <c r="N53" s="41"/>
      <c r="O53" s="41"/>
      <c r="P53" s="41"/>
    </row>
    <row r="54" spans="2:16" s="45" customFormat="1" ht="13.8" x14ac:dyDescent="0.3">
      <c r="B54" s="39"/>
      <c r="D54" s="109"/>
      <c r="E54" s="109"/>
      <c r="F54" s="109"/>
      <c r="G54" s="109"/>
      <c r="H54" s="109"/>
      <c r="I54" s="109"/>
      <c r="J54" s="109"/>
      <c r="M54" s="41"/>
      <c r="N54" s="41"/>
      <c r="O54" s="41"/>
      <c r="P54" s="41"/>
    </row>
    <row r="55" spans="2:16" s="45" customFormat="1" ht="13.8" x14ac:dyDescent="0.3">
      <c r="B55" s="39"/>
      <c r="D55" s="109"/>
      <c r="E55" s="109"/>
      <c r="F55" s="109"/>
      <c r="G55" s="109"/>
      <c r="H55" s="109"/>
      <c r="I55" s="109"/>
      <c r="J55" s="109"/>
      <c r="M55" s="41"/>
      <c r="N55" s="41"/>
      <c r="O55" s="41"/>
      <c r="P55" s="41"/>
    </row>
    <row r="56" spans="2:16" s="45" customFormat="1" ht="13.8" x14ac:dyDescent="0.3">
      <c r="B56" s="39"/>
      <c r="D56" s="94"/>
      <c r="E56" s="94"/>
      <c r="F56" s="94"/>
      <c r="G56" s="94"/>
      <c r="H56" s="94"/>
      <c r="I56" s="94"/>
      <c r="J56" s="94"/>
      <c r="M56" s="41"/>
      <c r="N56" s="41"/>
      <c r="O56" s="41"/>
      <c r="P56" s="41"/>
    </row>
    <row r="57" spans="2:16" s="45" customFormat="1" ht="13.8" x14ac:dyDescent="0.3">
      <c r="B57" s="39"/>
      <c r="D57" s="94"/>
      <c r="E57" s="94"/>
      <c r="F57" s="94"/>
      <c r="G57" s="94"/>
      <c r="H57" s="94"/>
      <c r="I57" s="94"/>
      <c r="J57" s="94"/>
      <c r="M57" s="41"/>
      <c r="N57" s="41"/>
      <c r="O57" s="41"/>
      <c r="P57" s="41"/>
    </row>
    <row r="58" spans="2:16" s="45" customFormat="1" ht="13.8" x14ac:dyDescent="0.3">
      <c r="B58" s="39"/>
      <c r="D58" s="94"/>
      <c r="E58" s="94"/>
      <c r="F58" s="94"/>
      <c r="G58" s="94"/>
      <c r="H58" s="94"/>
      <c r="I58" s="94"/>
      <c r="J58" s="94"/>
      <c r="M58" s="41"/>
      <c r="N58" s="41"/>
      <c r="O58" s="41"/>
      <c r="P58" s="41"/>
    </row>
    <row r="59" spans="2:16" s="45" customFormat="1" ht="13.8" x14ac:dyDescent="0.3">
      <c r="B59" s="39"/>
      <c r="D59" s="94"/>
      <c r="E59" s="94"/>
      <c r="F59" s="94"/>
      <c r="G59" s="94"/>
      <c r="H59" s="94"/>
      <c r="I59" s="94"/>
      <c r="J59" s="94"/>
      <c r="M59" s="41"/>
      <c r="N59" s="41"/>
      <c r="O59" s="41"/>
      <c r="P59" s="41"/>
    </row>
    <row r="60" spans="2:16" s="45" customFormat="1" ht="13.8" x14ac:dyDescent="0.3">
      <c r="B60" s="39"/>
      <c r="D60" s="94"/>
      <c r="E60" s="94"/>
      <c r="F60" s="94"/>
      <c r="G60" s="94"/>
      <c r="H60" s="94"/>
      <c r="I60" s="94"/>
      <c r="J60" s="94"/>
      <c r="M60" s="41"/>
      <c r="N60" s="41"/>
      <c r="O60" s="41"/>
      <c r="P60" s="41"/>
    </row>
    <row r="61" spans="2:16" s="45" customFormat="1" ht="13.8" x14ac:dyDescent="0.3">
      <c r="B61" s="39"/>
      <c r="D61" s="94"/>
      <c r="E61" s="94"/>
      <c r="F61" s="94"/>
      <c r="G61" s="94"/>
      <c r="H61" s="94"/>
      <c r="I61" s="94"/>
      <c r="J61" s="94"/>
      <c r="M61" s="41"/>
      <c r="N61" s="41"/>
      <c r="O61" s="41"/>
      <c r="P61" s="41"/>
    </row>
    <row r="62" spans="2:16" s="45" customFormat="1" ht="13.8" x14ac:dyDescent="0.3">
      <c r="B62" s="39"/>
      <c r="D62" s="94"/>
      <c r="E62" s="94"/>
      <c r="F62" s="94"/>
      <c r="G62" s="94"/>
      <c r="H62" s="94"/>
      <c r="I62" s="94"/>
      <c r="J62" s="94"/>
      <c r="M62" s="41"/>
      <c r="N62" s="41"/>
      <c r="O62" s="41"/>
      <c r="P62" s="41"/>
    </row>
  </sheetData>
  <mergeCells count="13">
    <mergeCell ref="D53:J55"/>
    <mergeCell ref="D32:J34"/>
    <mergeCell ref="D35:J37"/>
    <mergeCell ref="D38:J40"/>
    <mergeCell ref="D41:J43"/>
    <mergeCell ref="D44:J46"/>
    <mergeCell ref="D50:J52"/>
    <mergeCell ref="D47:J49"/>
    <mergeCell ref="D26:J28"/>
    <mergeCell ref="D29:J31"/>
    <mergeCell ref="D17:J19"/>
    <mergeCell ref="D20:J22"/>
    <mergeCell ref="D23:J25"/>
  </mergeCells>
  <pageMargins left="0.47244094488188981" right="0.23622047244094491" top="0.31496062992125984" bottom="0.98425196850393704" header="0.43307086614173229" footer="0.59055118110236227"/>
  <pageSetup scale="98" orientation="portrait" horizontalDpi="300" r:id="rId1"/>
  <headerFooter alignWithMargins="0">
    <oddFooter>&amp;C&amp;"Arial,Bold"ABBOTT AEROSPACE INC. PROPRIETARY INFORMATION&amp;"Arial,Regular"
Subject to restrictions on the cover or first page</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06"/>
  <sheetViews>
    <sheetView view="pageBreakPreview" zoomScale="70" zoomScaleNormal="100" zoomScaleSheetLayoutView="70" workbookViewId="0">
      <selection activeCell="J20" sqref="J20"/>
    </sheetView>
  </sheetViews>
  <sheetFormatPr defaultColWidth="9.109375" defaultRowHeight="15.6" x14ac:dyDescent="0.3"/>
  <cols>
    <col min="1" max="2" width="9.109375" style="37"/>
    <col min="3" max="3" width="9.5546875" style="37" bestFit="1" customWidth="1"/>
    <col min="4" max="11" width="9.109375" style="37"/>
    <col min="12" max="12" width="5.44140625" style="39" customWidth="1"/>
    <col min="13" max="16" width="5.44140625" style="41" customWidth="1"/>
    <col min="17" max="16384" width="9.109375" style="37"/>
  </cols>
  <sheetData>
    <row r="1" spans="1:17" x14ac:dyDescent="0.3">
      <c r="A1" s="35" t="s">
        <v>72</v>
      </c>
      <c r="B1" s="36" t="s">
        <v>10</v>
      </c>
      <c r="D1" s="35" t="s">
        <v>73</v>
      </c>
      <c r="E1" s="38">
        <v>9</v>
      </c>
      <c r="M1" s="40"/>
      <c r="N1" s="40"/>
      <c r="O1" s="40"/>
      <c r="P1" s="40"/>
    </row>
    <row r="2" spans="1:17" x14ac:dyDescent="0.3">
      <c r="A2" s="35" t="s">
        <v>74</v>
      </c>
      <c r="B2" s="36" t="s">
        <v>71</v>
      </c>
      <c r="D2" s="35" t="s">
        <v>75</v>
      </c>
      <c r="E2" s="38" t="s">
        <v>173</v>
      </c>
    </row>
    <row r="3" spans="1:17" x14ac:dyDescent="0.3">
      <c r="A3" s="35" t="s">
        <v>7</v>
      </c>
      <c r="B3" s="42" t="s">
        <v>29</v>
      </c>
      <c r="D3" s="35" t="s">
        <v>9</v>
      </c>
      <c r="E3" s="36" t="s">
        <v>8</v>
      </c>
    </row>
    <row r="4" spans="1:17" x14ac:dyDescent="0.3">
      <c r="A4" s="35" t="s">
        <v>24</v>
      </c>
      <c r="B4" s="85">
        <v>2</v>
      </c>
      <c r="D4" s="35" t="s">
        <v>76</v>
      </c>
      <c r="E4" s="44" t="s">
        <v>163</v>
      </c>
    </row>
    <row r="5" spans="1:17" x14ac:dyDescent="0.3">
      <c r="A5" s="35"/>
      <c r="B5" s="86"/>
      <c r="D5" s="35"/>
      <c r="E5" s="46"/>
      <c r="M5" s="41">
        <f>SUM('4.0 References'!M:M)</f>
        <v>1</v>
      </c>
    </row>
    <row r="6" spans="1:17" x14ac:dyDescent="0.3">
      <c r="B6" s="47"/>
    </row>
    <row r="8" spans="1:17" s="45" customFormat="1" ht="13.8" x14ac:dyDescent="0.3">
      <c r="A8" s="24"/>
      <c r="B8" s="19"/>
      <c r="C8" s="19"/>
      <c r="D8" s="19"/>
      <c r="E8" s="48" t="s">
        <v>72</v>
      </c>
      <c r="F8" s="49" t="str">
        <f>$B$1</f>
        <v>R. Abbott</v>
      </c>
      <c r="H8" s="50"/>
      <c r="I8" s="48" t="s">
        <v>78</v>
      </c>
      <c r="J8" s="51" t="str">
        <f>$E$2</f>
        <v>AA-SM-221</v>
      </c>
      <c r="K8" s="52"/>
      <c r="L8" s="39"/>
      <c r="M8" s="41"/>
      <c r="N8" s="41"/>
      <c r="O8" s="41"/>
      <c r="P8" s="41"/>
    </row>
    <row r="9" spans="1:17" s="45" customFormat="1" ht="13.8" x14ac:dyDescent="0.3">
      <c r="A9" s="19"/>
      <c r="B9" s="19"/>
      <c r="C9" s="19"/>
      <c r="D9" s="19"/>
      <c r="E9" s="48" t="s">
        <v>74</v>
      </c>
      <c r="F9" s="50" t="str">
        <f>$B$2</f>
        <v xml:space="preserve"> </v>
      </c>
      <c r="H9" s="50"/>
      <c r="I9" s="48" t="s">
        <v>79</v>
      </c>
      <c r="J9" s="52" t="str">
        <f>$E$3</f>
        <v>A</v>
      </c>
      <c r="K9" s="52"/>
      <c r="L9" s="39"/>
      <c r="M9" s="41">
        <v>1</v>
      </c>
      <c r="N9" s="41"/>
      <c r="O9" s="41"/>
      <c r="P9" s="41"/>
    </row>
    <row r="10" spans="1:17" s="45" customFormat="1" ht="13.8" x14ac:dyDescent="0.3">
      <c r="A10" s="19"/>
      <c r="B10" s="19"/>
      <c r="C10" s="19"/>
      <c r="D10" s="19"/>
      <c r="E10" s="48" t="s">
        <v>7</v>
      </c>
      <c r="F10" s="50" t="str">
        <f>$B$3</f>
        <v>Aug 2010</v>
      </c>
      <c r="H10" s="50"/>
      <c r="I10" s="48" t="s">
        <v>80</v>
      </c>
      <c r="J10" s="49" t="str">
        <f>$B$5&amp;L10&amp;" of "&amp;$B$5&amp;$E$1</f>
        <v>2 of 9</v>
      </c>
      <c r="K10" s="50"/>
      <c r="L10" s="39">
        <f>SUM($M$1:M9)</f>
        <v>2</v>
      </c>
      <c r="M10" s="41"/>
      <c r="N10" s="41"/>
      <c r="O10" s="41"/>
      <c r="P10" s="41"/>
    </row>
    <row r="11" spans="1:17" s="45" customFormat="1" ht="13.8" x14ac:dyDescent="0.3">
      <c r="L11" s="39"/>
      <c r="M11" s="41"/>
      <c r="N11" s="41"/>
      <c r="O11" s="41"/>
      <c r="P11" s="41"/>
    </row>
    <row r="12" spans="1:17" s="45" customFormat="1" ht="13.8" x14ac:dyDescent="0.3">
      <c r="I12" s="53"/>
      <c r="J12" s="49"/>
      <c r="L12" s="39"/>
      <c r="M12" s="41"/>
      <c r="N12" s="41"/>
      <c r="O12" s="41"/>
      <c r="P12" s="41"/>
    </row>
    <row r="13" spans="1:17" x14ac:dyDescent="0.3">
      <c r="B13" s="38" t="str">
        <f>($B$4)&amp;".0 "&amp;$E$4</f>
        <v>2.0 Aircraft Parameters</v>
      </c>
    </row>
    <row r="14" spans="1:17" s="45" customFormat="1" ht="13.8" x14ac:dyDescent="0.3">
      <c r="G14" s="55"/>
      <c r="I14" s="87"/>
      <c r="J14" s="87"/>
      <c r="K14" s="87"/>
      <c r="L14" s="87"/>
      <c r="M14" s="57"/>
      <c r="N14" s="41"/>
      <c r="O14" s="57"/>
      <c r="P14" s="57"/>
      <c r="Q14" s="57"/>
    </row>
    <row r="15" spans="1:17" s="45" customFormat="1" ht="15" x14ac:dyDescent="0.35">
      <c r="B15" s="62" t="s">
        <v>192</v>
      </c>
      <c r="C15" s="88">
        <v>10</v>
      </c>
      <c r="D15" s="60" t="s">
        <v>26</v>
      </c>
      <c r="I15" s="87"/>
      <c r="J15" s="87"/>
      <c r="K15" s="87"/>
      <c r="L15" s="87"/>
      <c r="M15" s="57"/>
      <c r="N15" s="41"/>
      <c r="O15" s="57"/>
      <c r="P15" s="57"/>
      <c r="Q15" s="57"/>
    </row>
    <row r="16" spans="1:17" s="45" customFormat="1" ht="13.8" x14ac:dyDescent="0.3">
      <c r="B16" s="62" t="s">
        <v>164</v>
      </c>
      <c r="C16" s="88">
        <v>75</v>
      </c>
      <c r="D16" s="60" t="s">
        <v>160</v>
      </c>
      <c r="I16" s="87"/>
      <c r="J16" s="87"/>
      <c r="K16" s="87"/>
      <c r="L16" s="87"/>
      <c r="M16" s="57"/>
      <c r="N16" s="41"/>
      <c r="O16" s="57"/>
      <c r="P16" s="57"/>
      <c r="Q16" s="57"/>
    </row>
    <row r="17" spans="1:21" s="45" customFormat="1" ht="13.8" x14ac:dyDescent="0.3">
      <c r="I17" s="87"/>
      <c r="J17" s="87"/>
      <c r="K17" s="87"/>
      <c r="L17" s="87"/>
      <c r="M17" s="57"/>
      <c r="N17" s="41"/>
      <c r="O17" s="57"/>
      <c r="P17" s="57"/>
      <c r="Q17" s="57"/>
    </row>
    <row r="18" spans="1:21" s="45" customFormat="1" ht="13.8" x14ac:dyDescent="0.3">
      <c r="A18" s="53"/>
      <c r="B18" s="50" t="s">
        <v>5</v>
      </c>
      <c r="I18" s="87"/>
      <c r="J18" s="87"/>
      <c r="K18" s="87"/>
      <c r="L18" s="87"/>
      <c r="M18" s="57"/>
      <c r="N18" s="41"/>
      <c r="O18" s="57">
        <v>1</v>
      </c>
      <c r="P18" s="57"/>
      <c r="Q18" s="57"/>
    </row>
    <row r="19" spans="1:21" s="45" customFormat="1" ht="13.8" x14ac:dyDescent="0.3">
      <c r="F19" s="55"/>
      <c r="I19" s="87"/>
      <c r="J19" s="87"/>
      <c r="K19" s="87"/>
      <c r="L19" s="87"/>
      <c r="M19" s="57"/>
      <c r="N19" s="41"/>
      <c r="O19" s="57"/>
      <c r="P19" s="57"/>
      <c r="Q19" s="57"/>
    </row>
    <row r="20" spans="1:21" s="45" customFormat="1" ht="15" x14ac:dyDescent="0.35">
      <c r="B20" s="48" t="s">
        <v>193</v>
      </c>
      <c r="C20" s="89">
        <v>1800</v>
      </c>
      <c r="D20" s="45" t="s">
        <v>27</v>
      </c>
      <c r="F20" s="55"/>
      <c r="I20" s="87"/>
      <c r="J20" s="87"/>
      <c r="K20" s="87"/>
      <c r="L20" s="87"/>
      <c r="M20" s="57"/>
      <c r="N20" s="41"/>
      <c r="O20" s="57"/>
      <c r="P20" s="57"/>
      <c r="Q20" s="57"/>
    </row>
    <row r="21" spans="1:21" s="45" customFormat="1" ht="13.8" x14ac:dyDescent="0.3">
      <c r="B21" s="48"/>
      <c r="C21" s="89"/>
      <c r="I21" s="87"/>
      <c r="J21" s="87"/>
      <c r="K21" s="87"/>
      <c r="L21" s="87"/>
      <c r="M21" s="57"/>
      <c r="N21" s="41"/>
      <c r="O21" s="57"/>
      <c r="P21" s="57"/>
      <c r="Q21" s="57"/>
    </row>
    <row r="22" spans="1:21" s="45" customFormat="1" ht="13.8" x14ac:dyDescent="0.3">
      <c r="A22" s="53"/>
      <c r="B22" s="50" t="s">
        <v>4</v>
      </c>
      <c r="I22" s="87"/>
      <c r="J22" s="87"/>
      <c r="K22" s="87"/>
      <c r="L22" s="87"/>
      <c r="M22" s="57"/>
      <c r="N22" s="41"/>
      <c r="O22" s="57">
        <v>1</v>
      </c>
      <c r="P22" s="57"/>
      <c r="Q22" s="57"/>
      <c r="U22" s="60"/>
    </row>
    <row r="23" spans="1:21" s="45" customFormat="1" ht="13.8" x14ac:dyDescent="0.3">
      <c r="I23" s="87"/>
      <c r="J23" s="87"/>
      <c r="K23" s="87"/>
      <c r="L23" s="87"/>
      <c r="M23" s="57"/>
      <c r="N23" s="41"/>
      <c r="O23" s="57"/>
      <c r="P23" s="57"/>
      <c r="Q23" s="57"/>
    </row>
    <row r="24" spans="1:21" s="45" customFormat="1" ht="15" x14ac:dyDescent="0.35">
      <c r="B24" s="48" t="s">
        <v>183</v>
      </c>
      <c r="C24" s="90">
        <v>16</v>
      </c>
      <c r="D24" s="45" t="s">
        <v>156</v>
      </c>
      <c r="I24" s="87"/>
      <c r="J24" s="87"/>
      <c r="K24" s="87"/>
      <c r="L24" s="87"/>
      <c r="M24" s="57"/>
      <c r="N24" s="41"/>
      <c r="O24" s="57"/>
      <c r="P24" s="57"/>
      <c r="Q24" s="57"/>
    </row>
    <row r="25" spans="1:21" s="45" customFormat="1" ht="15" x14ac:dyDescent="0.35">
      <c r="B25" s="48" t="s">
        <v>194</v>
      </c>
      <c r="C25" s="90">
        <v>0.5</v>
      </c>
      <c r="D25" s="45" t="s">
        <v>19</v>
      </c>
      <c r="I25" s="87"/>
      <c r="J25" s="87"/>
      <c r="K25" s="87"/>
      <c r="L25" s="87"/>
      <c r="M25" s="57"/>
      <c r="N25" s="41"/>
      <c r="O25" s="57"/>
      <c r="P25" s="57"/>
      <c r="Q25" s="57"/>
    </row>
    <row r="26" spans="1:21" s="45" customFormat="1" ht="15" x14ac:dyDescent="0.35">
      <c r="B26" s="48" t="s">
        <v>184</v>
      </c>
      <c r="C26" s="90">
        <v>10</v>
      </c>
      <c r="D26" s="45" t="s">
        <v>17</v>
      </c>
      <c r="I26" s="87"/>
      <c r="J26" s="87"/>
      <c r="K26" s="87"/>
      <c r="L26" s="87"/>
      <c r="M26" s="57"/>
      <c r="N26" s="41"/>
      <c r="O26" s="57"/>
      <c r="P26" s="57"/>
      <c r="Q26" s="57"/>
    </row>
    <row r="27" spans="1:21" s="45" customFormat="1" ht="15" x14ac:dyDescent="0.35">
      <c r="B27" s="48" t="s">
        <v>185</v>
      </c>
      <c r="C27" s="90">
        <v>10</v>
      </c>
      <c r="D27" s="45" t="s">
        <v>11</v>
      </c>
      <c r="I27" s="87"/>
      <c r="J27" s="87"/>
      <c r="K27" s="87"/>
      <c r="L27" s="87"/>
      <c r="M27" s="57"/>
      <c r="N27" s="41"/>
      <c r="O27" s="57"/>
      <c r="P27" s="57"/>
      <c r="Q27" s="57"/>
    </row>
    <row r="28" spans="1:21" s="45" customFormat="1" ht="15" x14ac:dyDescent="0.35">
      <c r="B28" s="48" t="s">
        <v>195</v>
      </c>
      <c r="C28" s="90">
        <f>((C27+C26)/2)*C24</f>
        <v>160</v>
      </c>
      <c r="D28" s="54" t="s">
        <v>196</v>
      </c>
      <c r="F28" s="55"/>
      <c r="I28" s="87"/>
      <c r="J28" s="87"/>
      <c r="K28" s="87"/>
      <c r="L28" s="87"/>
      <c r="M28" s="57"/>
      <c r="N28" s="41"/>
      <c r="O28" s="57"/>
      <c r="P28" s="57"/>
      <c r="Q28" s="57"/>
    </row>
    <row r="29" spans="1:21" s="45" customFormat="1" ht="13.8" x14ac:dyDescent="0.3">
      <c r="B29" s="48"/>
      <c r="C29" s="91"/>
      <c r="F29" s="55"/>
      <c r="I29" s="87"/>
      <c r="J29" s="87"/>
      <c r="K29" s="87"/>
      <c r="L29" s="87"/>
      <c r="M29" s="57"/>
      <c r="N29" s="41"/>
      <c r="O29" s="57"/>
      <c r="P29" s="57"/>
      <c r="Q29" s="57"/>
    </row>
    <row r="30" spans="1:21" s="45" customFormat="1" ht="13.8" x14ac:dyDescent="0.3">
      <c r="A30" s="53"/>
      <c r="B30" s="50" t="s">
        <v>6</v>
      </c>
      <c r="I30" s="87"/>
      <c r="J30" s="87"/>
      <c r="K30" s="87"/>
      <c r="L30" s="87"/>
      <c r="M30" s="57"/>
      <c r="N30" s="41"/>
      <c r="O30" s="57">
        <v>1</v>
      </c>
      <c r="P30" s="57"/>
      <c r="Q30" s="57"/>
    </row>
    <row r="31" spans="1:21" s="45" customFormat="1" ht="13.8" x14ac:dyDescent="0.3">
      <c r="F31" s="55"/>
      <c r="G31" s="55"/>
      <c r="I31" s="87"/>
      <c r="J31" s="87"/>
      <c r="K31" s="87"/>
      <c r="L31" s="87"/>
      <c r="M31" s="57"/>
      <c r="N31" s="41"/>
      <c r="O31" s="57"/>
      <c r="P31" s="57"/>
      <c r="Q31" s="57"/>
    </row>
    <row r="32" spans="1:21" s="45" customFormat="1" x14ac:dyDescent="0.35">
      <c r="B32" s="62" t="s">
        <v>189</v>
      </c>
      <c r="C32" s="60">
        <f>14.7*144</f>
        <v>2116.7999999999997</v>
      </c>
      <c r="D32" s="60" t="s">
        <v>190</v>
      </c>
      <c r="E32" s="60"/>
      <c r="F32" s="55"/>
      <c r="I32" s="87"/>
      <c r="J32" s="87"/>
      <c r="K32" s="87"/>
      <c r="L32" s="87"/>
      <c r="M32" s="57"/>
      <c r="N32" s="41"/>
      <c r="O32" s="57"/>
      <c r="P32" s="57"/>
      <c r="Q32" s="57"/>
    </row>
    <row r="33" spans="2:17" s="45" customFormat="1" ht="15" x14ac:dyDescent="0.35">
      <c r="B33" s="62" t="s">
        <v>191</v>
      </c>
      <c r="C33" s="60">
        <v>59</v>
      </c>
      <c r="D33" s="60" t="s">
        <v>13</v>
      </c>
      <c r="E33" s="60"/>
      <c r="F33" s="55"/>
      <c r="M33" s="57"/>
      <c r="N33" s="57"/>
      <c r="O33" s="57"/>
      <c r="P33" s="57"/>
      <c r="Q33" s="57"/>
    </row>
    <row r="34" spans="2:17" s="45" customFormat="1" ht="15" x14ac:dyDescent="0.3">
      <c r="B34" s="62" t="s">
        <v>16</v>
      </c>
      <c r="C34" s="68">
        <v>2.3700000000000001E-3</v>
      </c>
      <c r="D34" s="69" t="s">
        <v>197</v>
      </c>
      <c r="E34" s="60"/>
      <c r="F34" s="55"/>
      <c r="M34" s="57"/>
      <c r="N34" s="57"/>
      <c r="O34" s="57"/>
      <c r="P34" s="57"/>
      <c r="Q34" s="57"/>
    </row>
    <row r="35" spans="2:17" s="45" customFormat="1" ht="15" x14ac:dyDescent="0.3">
      <c r="B35" s="62" t="s">
        <v>16</v>
      </c>
      <c r="C35" s="68">
        <f>C34*32.1740486</f>
        <v>7.6252495182000002E-2</v>
      </c>
      <c r="D35" s="69" t="s">
        <v>198</v>
      </c>
      <c r="E35" s="60"/>
      <c r="M35" s="57"/>
      <c r="N35" s="57"/>
      <c r="O35" s="57"/>
      <c r="P35" s="57"/>
      <c r="Q35" s="57"/>
    </row>
    <row r="36" spans="2:17" s="45" customFormat="1" ht="13.8" x14ac:dyDescent="0.3">
      <c r="B36" s="62" t="s">
        <v>0</v>
      </c>
      <c r="C36" s="60">
        <v>3.5599999999999998E-3</v>
      </c>
      <c r="D36" s="60" t="s">
        <v>12</v>
      </c>
      <c r="E36" s="60"/>
      <c r="M36" s="57"/>
      <c r="N36" s="57"/>
      <c r="O36" s="57"/>
      <c r="P36" s="57"/>
      <c r="Q36" s="57"/>
    </row>
    <row r="37" spans="2:17" s="45" customFormat="1" ht="13.8" x14ac:dyDescent="0.3">
      <c r="I37" s="87"/>
      <c r="J37" s="87"/>
      <c r="K37" s="87"/>
      <c r="L37" s="87"/>
      <c r="M37" s="57"/>
      <c r="N37" s="41"/>
      <c r="O37" s="57"/>
      <c r="P37" s="57"/>
      <c r="Q37" s="57"/>
    </row>
    <row r="38" spans="2:17" s="45" customFormat="1" ht="13.8" x14ac:dyDescent="0.3"/>
    <row r="39" spans="2:17" s="45" customFormat="1" ht="13.8" x14ac:dyDescent="0.3"/>
    <row r="40" spans="2:17" s="45" customFormat="1" ht="13.8" x14ac:dyDescent="0.3"/>
    <row r="41" spans="2:17" s="45" customFormat="1" ht="13.8" x14ac:dyDescent="0.3"/>
    <row r="42" spans="2:17" s="45" customFormat="1" ht="13.8" x14ac:dyDescent="0.3"/>
    <row r="43" spans="2:17" s="45" customFormat="1" ht="13.8" x14ac:dyDescent="0.3"/>
    <row r="44" spans="2:17" s="45" customFormat="1" ht="13.8" x14ac:dyDescent="0.3"/>
    <row r="45" spans="2:17" s="45" customFormat="1" ht="13.8" x14ac:dyDescent="0.3"/>
    <row r="46" spans="2:17" s="45" customFormat="1" ht="13.8" x14ac:dyDescent="0.3"/>
    <row r="47" spans="2:17" s="45" customFormat="1" ht="13.8" x14ac:dyDescent="0.3"/>
    <row r="48" spans="2:17" s="45" customFormat="1" ht="13.8" x14ac:dyDescent="0.3"/>
    <row r="49" spans="1:20" s="45" customFormat="1" ht="13.8" x14ac:dyDescent="0.3"/>
    <row r="50" spans="1:20" s="45" customFormat="1" ht="13.8" x14ac:dyDescent="0.3"/>
    <row r="51" spans="1:20" s="45" customFormat="1" ht="13.8" x14ac:dyDescent="0.3"/>
    <row r="52" spans="1:20" s="45" customFormat="1" ht="13.8" x14ac:dyDescent="0.3"/>
    <row r="53" spans="1:20" s="45" customFormat="1" ht="13.8" x14ac:dyDescent="0.3"/>
    <row r="54" spans="1:20" s="45" customFormat="1" ht="13.8" x14ac:dyDescent="0.3"/>
    <row r="55" spans="1:20" s="45" customFormat="1" ht="13.8" x14ac:dyDescent="0.3">
      <c r="B55" s="48"/>
      <c r="C55" s="89"/>
      <c r="F55" s="55"/>
      <c r="I55" s="87"/>
      <c r="J55" s="87"/>
      <c r="K55" s="87"/>
      <c r="L55" s="87"/>
      <c r="M55" s="57"/>
      <c r="N55" s="41"/>
      <c r="O55" s="57"/>
      <c r="P55" s="57"/>
      <c r="Q55" s="57"/>
    </row>
    <row r="56" spans="1:20" s="45" customFormat="1" ht="13.8" x14ac:dyDescent="0.3">
      <c r="B56" s="48"/>
      <c r="C56" s="89"/>
      <c r="F56" s="55"/>
      <c r="I56" s="87"/>
      <c r="J56" s="87"/>
      <c r="K56" s="87"/>
      <c r="L56" s="87"/>
      <c r="M56" s="57"/>
      <c r="N56" s="41"/>
      <c r="O56" s="57"/>
      <c r="P56" s="57"/>
      <c r="Q56" s="57"/>
    </row>
    <row r="57" spans="1:20" s="45" customFormat="1" ht="13.8" x14ac:dyDescent="0.3">
      <c r="B57" s="48"/>
      <c r="C57" s="89"/>
      <c r="F57" s="55"/>
      <c r="I57" s="87"/>
      <c r="J57" s="87"/>
      <c r="K57" s="87"/>
      <c r="L57" s="87"/>
      <c r="M57" s="57"/>
      <c r="N57" s="41"/>
      <c r="O57" s="57"/>
      <c r="P57" s="57"/>
      <c r="Q57" s="57"/>
    </row>
    <row r="58" spans="1:20" s="45" customFormat="1" ht="13.8" x14ac:dyDescent="0.3">
      <c r="B58" s="48"/>
      <c r="C58" s="89"/>
      <c r="F58" s="55"/>
      <c r="I58" s="87"/>
      <c r="J58" s="87"/>
      <c r="K58" s="87"/>
      <c r="L58" s="87"/>
      <c r="M58" s="57"/>
      <c r="N58" s="41"/>
      <c r="O58" s="57"/>
      <c r="P58" s="57"/>
      <c r="Q58" s="57"/>
    </row>
    <row r="59" spans="1:20" s="45" customFormat="1" ht="13.8" x14ac:dyDescent="0.3">
      <c r="B59" s="48"/>
      <c r="C59" s="89"/>
      <c r="I59" s="87"/>
      <c r="J59" s="87"/>
      <c r="K59" s="87"/>
      <c r="L59" s="87"/>
      <c r="M59" s="57"/>
      <c r="N59" s="41"/>
      <c r="O59" s="57"/>
      <c r="P59" s="57"/>
      <c r="Q59" s="57"/>
      <c r="T59" s="60"/>
    </row>
    <row r="60" spans="1:20" s="45" customFormat="1" ht="13.8" x14ac:dyDescent="0.3">
      <c r="B60" s="48"/>
      <c r="C60" s="39"/>
      <c r="H60" s="48"/>
      <c r="I60" s="59"/>
      <c r="L60" s="39"/>
      <c r="M60" s="41"/>
      <c r="N60" s="41"/>
      <c r="O60" s="41"/>
      <c r="P60" s="41"/>
    </row>
    <row r="61" spans="1:20" s="45" customFormat="1" ht="13.8" x14ac:dyDescent="0.3">
      <c r="H61" s="50"/>
      <c r="I61" s="53"/>
      <c r="J61" s="49"/>
      <c r="K61" s="50"/>
      <c r="L61" s="39"/>
      <c r="M61" s="41"/>
      <c r="N61" s="41"/>
      <c r="O61" s="41"/>
      <c r="P61" s="41"/>
    </row>
    <row r="62" spans="1:20" x14ac:dyDescent="0.3">
      <c r="A62" s="45"/>
      <c r="B62" s="45"/>
      <c r="C62" s="45"/>
      <c r="D62" s="45"/>
      <c r="E62" s="45"/>
      <c r="F62" s="45"/>
      <c r="G62" s="45"/>
      <c r="H62" s="45"/>
      <c r="I62" s="53"/>
      <c r="J62" s="49"/>
      <c r="K62" s="45"/>
    </row>
    <row r="63" spans="1:20" x14ac:dyDescent="0.3">
      <c r="B63" s="38"/>
    </row>
    <row r="65" spans="1:40" x14ac:dyDescent="0.3">
      <c r="B65" s="83"/>
      <c r="C65" s="83"/>
      <c r="D65" s="83"/>
      <c r="E65" s="83"/>
      <c r="F65" s="83"/>
      <c r="G65" s="83"/>
      <c r="H65" s="83"/>
      <c r="I65" s="83"/>
      <c r="J65" s="83"/>
    </row>
    <row r="66" spans="1:40" x14ac:dyDescent="0.3">
      <c r="B66" s="83"/>
      <c r="C66" s="83"/>
      <c r="D66" s="83"/>
      <c r="E66" s="83"/>
      <c r="F66" s="83"/>
      <c r="G66" s="83"/>
      <c r="H66" s="83"/>
      <c r="I66" s="83"/>
      <c r="J66" s="83"/>
    </row>
    <row r="67" spans="1:40" x14ac:dyDescent="0.3">
      <c r="B67" s="83"/>
      <c r="C67" s="83"/>
      <c r="D67" s="83"/>
      <c r="E67" s="83"/>
      <c r="F67" s="83"/>
      <c r="G67" s="83"/>
      <c r="H67" s="83"/>
      <c r="I67" s="83"/>
      <c r="J67" s="83"/>
    </row>
    <row r="68" spans="1:40" x14ac:dyDescent="0.3">
      <c r="B68" s="83"/>
      <c r="C68" s="83"/>
      <c r="D68" s="83"/>
      <c r="E68" s="83"/>
      <c r="F68" s="83"/>
      <c r="G68" s="83"/>
      <c r="H68" s="83"/>
      <c r="I68" s="83"/>
      <c r="J68" s="83"/>
    </row>
    <row r="69" spans="1:40" x14ac:dyDescent="0.3">
      <c r="B69" s="83"/>
      <c r="C69" s="83"/>
      <c r="D69" s="83"/>
      <c r="E69" s="83"/>
      <c r="F69" s="83"/>
      <c r="G69" s="83"/>
      <c r="H69" s="83"/>
      <c r="I69" s="83"/>
      <c r="J69" s="83"/>
    </row>
    <row r="70" spans="1:40" x14ac:dyDescent="0.3">
      <c r="B70" s="83"/>
      <c r="C70" s="83"/>
      <c r="D70" s="83"/>
      <c r="E70" s="83"/>
      <c r="F70" s="83"/>
      <c r="G70" s="83"/>
      <c r="H70" s="83"/>
      <c r="I70" s="83"/>
      <c r="J70" s="83"/>
    </row>
    <row r="71" spans="1:40" x14ac:dyDescent="0.3">
      <c r="B71" s="83"/>
      <c r="C71" s="83"/>
      <c r="D71" s="83"/>
      <c r="E71" s="83"/>
      <c r="F71" s="83"/>
      <c r="G71" s="83"/>
      <c r="H71" s="83"/>
      <c r="I71" s="83"/>
      <c r="J71" s="83"/>
    </row>
    <row r="72" spans="1:40" x14ac:dyDescent="0.3">
      <c r="B72" s="83"/>
      <c r="C72" s="83"/>
      <c r="D72" s="83"/>
      <c r="E72" s="83"/>
      <c r="F72" s="83"/>
      <c r="G72" s="83"/>
      <c r="H72" s="83"/>
      <c r="I72" s="83"/>
      <c r="J72" s="83"/>
    </row>
    <row r="73" spans="1:40" x14ac:dyDescent="0.3">
      <c r="B73" s="83"/>
      <c r="C73" s="83"/>
      <c r="D73" s="83"/>
      <c r="E73" s="83"/>
      <c r="F73" s="83"/>
      <c r="G73" s="83"/>
      <c r="H73" s="83"/>
      <c r="I73" s="83"/>
      <c r="J73" s="83"/>
    </row>
    <row r="74" spans="1:40" x14ac:dyDescent="0.3">
      <c r="B74" s="83"/>
      <c r="C74" s="83"/>
      <c r="D74" s="83"/>
      <c r="E74" s="83"/>
      <c r="F74" s="83"/>
      <c r="G74" s="83"/>
      <c r="H74" s="83"/>
      <c r="I74" s="83"/>
      <c r="J74" s="83"/>
    </row>
    <row r="75" spans="1:40" x14ac:dyDescent="0.3">
      <c r="B75" s="83"/>
      <c r="C75" s="83"/>
      <c r="D75" s="83"/>
      <c r="E75" s="83"/>
      <c r="F75" s="83"/>
      <c r="G75" s="83"/>
      <c r="H75" s="83"/>
      <c r="I75" s="83"/>
      <c r="J75" s="83"/>
    </row>
    <row r="76" spans="1:40" s="39" customFormat="1" x14ac:dyDescent="0.3">
      <c r="A76" s="37"/>
      <c r="B76" s="83"/>
      <c r="C76" s="83"/>
      <c r="D76" s="83"/>
      <c r="E76" s="83"/>
      <c r="F76" s="83"/>
      <c r="G76" s="83"/>
      <c r="H76" s="83"/>
      <c r="I76" s="83"/>
      <c r="J76" s="83"/>
      <c r="K76" s="37"/>
      <c r="M76" s="41"/>
      <c r="N76" s="41"/>
      <c r="O76" s="41"/>
      <c r="P76" s="41"/>
      <c r="Q76" s="37"/>
      <c r="R76" s="37"/>
      <c r="S76" s="37"/>
      <c r="T76" s="37"/>
      <c r="U76" s="37"/>
      <c r="V76" s="37"/>
      <c r="W76" s="37"/>
      <c r="X76" s="37"/>
      <c r="Y76" s="37"/>
      <c r="Z76" s="37"/>
      <c r="AA76" s="37"/>
      <c r="AB76" s="37"/>
      <c r="AC76" s="37"/>
      <c r="AD76" s="37"/>
      <c r="AE76" s="37"/>
      <c r="AF76" s="37"/>
      <c r="AG76" s="37"/>
      <c r="AH76" s="37"/>
      <c r="AI76" s="37"/>
      <c r="AJ76" s="37"/>
      <c r="AK76" s="37"/>
      <c r="AL76" s="37"/>
      <c r="AM76" s="37"/>
      <c r="AN76" s="37"/>
    </row>
    <row r="77" spans="1:40" s="39" customFormat="1" x14ac:dyDescent="0.3">
      <c r="A77" s="37"/>
      <c r="B77" s="83"/>
      <c r="C77" s="83"/>
      <c r="D77" s="83"/>
      <c r="E77" s="83"/>
      <c r="F77" s="83"/>
      <c r="G77" s="83"/>
      <c r="H77" s="83"/>
      <c r="I77" s="83"/>
      <c r="J77" s="83"/>
      <c r="K77" s="37"/>
      <c r="M77" s="41"/>
      <c r="N77" s="41"/>
      <c r="O77" s="41"/>
      <c r="P77" s="41"/>
      <c r="Q77" s="37"/>
      <c r="R77" s="37"/>
      <c r="S77" s="37"/>
      <c r="T77" s="37"/>
      <c r="U77" s="37"/>
      <c r="V77" s="37"/>
      <c r="W77" s="37"/>
      <c r="X77" s="37"/>
      <c r="Y77" s="37"/>
      <c r="Z77" s="37"/>
      <c r="AA77" s="37"/>
      <c r="AB77" s="37"/>
      <c r="AC77" s="37"/>
      <c r="AD77" s="37"/>
      <c r="AE77" s="37"/>
      <c r="AF77" s="37"/>
      <c r="AG77" s="37"/>
      <c r="AH77" s="37"/>
      <c r="AI77" s="37"/>
      <c r="AJ77" s="37"/>
      <c r="AK77" s="37"/>
      <c r="AL77" s="37"/>
      <c r="AM77" s="37"/>
      <c r="AN77" s="37"/>
    </row>
    <row r="78" spans="1:40" s="39" customFormat="1" x14ac:dyDescent="0.3">
      <c r="A78" s="37"/>
      <c r="B78" s="83"/>
      <c r="C78" s="83"/>
      <c r="D78" s="83"/>
      <c r="E78" s="83"/>
      <c r="F78" s="83"/>
      <c r="G78" s="83"/>
      <c r="H78" s="83"/>
      <c r="I78" s="83"/>
      <c r="J78" s="83"/>
      <c r="K78" s="37"/>
      <c r="M78" s="41"/>
      <c r="N78" s="41"/>
      <c r="O78" s="41"/>
      <c r="P78" s="41"/>
      <c r="Q78" s="37"/>
      <c r="R78" s="37"/>
      <c r="S78" s="37"/>
      <c r="T78" s="37"/>
      <c r="U78" s="37"/>
      <c r="V78" s="37"/>
      <c r="W78" s="37"/>
      <c r="X78" s="37"/>
      <c r="Y78" s="37"/>
      <c r="Z78" s="37"/>
      <c r="AA78" s="37"/>
      <c r="AB78" s="37"/>
      <c r="AC78" s="37"/>
      <c r="AD78" s="37"/>
      <c r="AE78" s="37"/>
      <c r="AF78" s="37"/>
      <c r="AG78" s="37"/>
      <c r="AH78" s="37"/>
      <c r="AI78" s="37"/>
      <c r="AJ78" s="37"/>
      <c r="AK78" s="37"/>
      <c r="AL78" s="37"/>
      <c r="AM78" s="37"/>
      <c r="AN78" s="37"/>
    </row>
    <row r="79" spans="1:40" s="39" customFormat="1" x14ac:dyDescent="0.3">
      <c r="A79" s="37"/>
      <c r="B79" s="83"/>
      <c r="C79" s="83"/>
      <c r="D79" s="83"/>
      <c r="E79" s="83"/>
      <c r="F79" s="83"/>
      <c r="G79" s="83"/>
      <c r="H79" s="83"/>
      <c r="I79" s="83"/>
      <c r="J79" s="83"/>
      <c r="K79" s="37"/>
      <c r="M79" s="41"/>
      <c r="N79" s="41"/>
      <c r="O79" s="41"/>
      <c r="P79" s="41"/>
      <c r="Q79" s="37"/>
      <c r="R79" s="37"/>
      <c r="S79" s="37"/>
      <c r="T79" s="37"/>
      <c r="U79" s="37"/>
      <c r="V79" s="37"/>
      <c r="W79" s="37"/>
      <c r="X79" s="37"/>
      <c r="Y79" s="37"/>
      <c r="Z79" s="37"/>
      <c r="AA79" s="37"/>
      <c r="AB79" s="37"/>
      <c r="AC79" s="37"/>
      <c r="AD79" s="37"/>
      <c r="AE79" s="37"/>
      <c r="AF79" s="37"/>
      <c r="AG79" s="37"/>
      <c r="AH79" s="37"/>
      <c r="AI79" s="37"/>
      <c r="AJ79" s="37"/>
      <c r="AK79" s="37"/>
      <c r="AL79" s="37"/>
      <c r="AM79" s="37"/>
      <c r="AN79" s="37"/>
    </row>
    <row r="80" spans="1:40" s="39" customFormat="1" x14ac:dyDescent="0.3">
      <c r="A80" s="37"/>
      <c r="B80" s="83"/>
      <c r="C80" s="83"/>
      <c r="D80" s="83"/>
      <c r="E80" s="83"/>
      <c r="F80" s="83"/>
      <c r="G80" s="83"/>
      <c r="H80" s="83"/>
      <c r="I80" s="83"/>
      <c r="J80" s="83"/>
      <c r="K80" s="37"/>
      <c r="M80" s="41"/>
      <c r="N80" s="41"/>
      <c r="O80" s="41"/>
      <c r="P80" s="41"/>
      <c r="Q80" s="37"/>
      <c r="R80" s="37"/>
      <c r="S80" s="37"/>
      <c r="T80" s="37"/>
      <c r="U80" s="37"/>
      <c r="V80" s="37"/>
      <c r="W80" s="37"/>
      <c r="X80" s="37"/>
      <c r="Y80" s="37"/>
      <c r="Z80" s="37"/>
      <c r="AA80" s="37"/>
      <c r="AB80" s="37"/>
      <c r="AC80" s="37"/>
      <c r="AD80" s="37"/>
      <c r="AE80" s="37"/>
      <c r="AF80" s="37"/>
      <c r="AG80" s="37"/>
      <c r="AH80" s="37"/>
      <c r="AI80" s="37"/>
      <c r="AJ80" s="37"/>
      <c r="AK80" s="37"/>
      <c r="AL80" s="37"/>
      <c r="AM80" s="37"/>
      <c r="AN80" s="37"/>
    </row>
    <row r="81" spans="1:40" s="39" customFormat="1" x14ac:dyDescent="0.3">
      <c r="A81" s="37"/>
      <c r="B81" s="83"/>
      <c r="C81" s="83"/>
      <c r="D81" s="83"/>
      <c r="E81" s="83"/>
      <c r="F81" s="83"/>
      <c r="G81" s="83"/>
      <c r="H81" s="83"/>
      <c r="I81" s="83"/>
      <c r="J81" s="83"/>
      <c r="K81" s="37"/>
      <c r="M81" s="41"/>
      <c r="N81" s="41"/>
      <c r="O81" s="41"/>
      <c r="P81" s="41"/>
      <c r="Q81" s="37"/>
      <c r="R81" s="37"/>
      <c r="S81" s="37"/>
      <c r="T81" s="37"/>
      <c r="U81" s="37"/>
      <c r="V81" s="37"/>
      <c r="W81" s="37"/>
      <c r="X81" s="37"/>
      <c r="Y81" s="37"/>
      <c r="Z81" s="37"/>
      <c r="AA81" s="37"/>
      <c r="AB81" s="37"/>
      <c r="AC81" s="37"/>
      <c r="AD81" s="37"/>
      <c r="AE81" s="37"/>
      <c r="AF81" s="37"/>
      <c r="AG81" s="37"/>
      <c r="AH81" s="37"/>
      <c r="AI81" s="37"/>
      <c r="AJ81" s="37"/>
      <c r="AK81" s="37"/>
      <c r="AL81" s="37"/>
      <c r="AM81" s="37"/>
      <c r="AN81" s="37"/>
    </row>
    <row r="82" spans="1:40" s="39" customFormat="1" x14ac:dyDescent="0.3">
      <c r="A82" s="37"/>
      <c r="B82" s="83"/>
      <c r="C82" s="83"/>
      <c r="D82" s="83"/>
      <c r="E82" s="83"/>
      <c r="F82" s="83"/>
      <c r="G82" s="83"/>
      <c r="H82" s="83"/>
      <c r="I82" s="83"/>
      <c r="J82" s="83"/>
      <c r="K82" s="37"/>
      <c r="M82" s="41"/>
      <c r="N82" s="41"/>
      <c r="O82" s="41"/>
      <c r="P82" s="41"/>
      <c r="Q82" s="37"/>
      <c r="R82" s="37"/>
      <c r="S82" s="37"/>
      <c r="T82" s="37"/>
      <c r="U82" s="37"/>
      <c r="V82" s="37"/>
      <c r="W82" s="37"/>
      <c r="X82" s="37"/>
      <c r="Y82" s="37"/>
      <c r="Z82" s="37"/>
      <c r="AA82" s="37"/>
      <c r="AB82" s="37"/>
      <c r="AC82" s="37"/>
      <c r="AD82" s="37"/>
      <c r="AE82" s="37"/>
      <c r="AF82" s="37"/>
      <c r="AG82" s="37"/>
      <c r="AH82" s="37"/>
      <c r="AI82" s="37"/>
      <c r="AJ82" s="37"/>
      <c r="AK82" s="37"/>
      <c r="AL82" s="37"/>
      <c r="AM82" s="37"/>
      <c r="AN82" s="37"/>
    </row>
    <row r="83" spans="1:40" s="39" customFormat="1" x14ac:dyDescent="0.3">
      <c r="A83" s="37"/>
      <c r="B83" s="83"/>
      <c r="C83" s="83"/>
      <c r="D83" s="83"/>
      <c r="E83" s="83"/>
      <c r="F83" s="83"/>
      <c r="G83" s="83"/>
      <c r="H83" s="83"/>
      <c r="I83" s="83"/>
      <c r="J83" s="83"/>
      <c r="K83" s="37"/>
      <c r="M83" s="41"/>
      <c r="N83" s="41"/>
      <c r="O83" s="41"/>
      <c r="P83" s="41"/>
      <c r="Q83" s="37"/>
      <c r="R83" s="37"/>
      <c r="S83" s="37"/>
      <c r="T83" s="37"/>
      <c r="U83" s="37"/>
      <c r="V83" s="37"/>
      <c r="W83" s="37"/>
      <c r="X83" s="37"/>
      <c r="Y83" s="37"/>
      <c r="Z83" s="37"/>
      <c r="AA83" s="37"/>
      <c r="AB83" s="37"/>
      <c r="AC83" s="37"/>
      <c r="AD83" s="37"/>
      <c r="AE83" s="37"/>
      <c r="AF83" s="37"/>
      <c r="AG83" s="37"/>
      <c r="AH83" s="37"/>
      <c r="AI83" s="37"/>
      <c r="AJ83" s="37"/>
      <c r="AK83" s="37"/>
      <c r="AL83" s="37"/>
      <c r="AM83" s="37"/>
      <c r="AN83" s="37"/>
    </row>
    <row r="84" spans="1:40" s="39" customFormat="1" x14ac:dyDescent="0.3">
      <c r="A84" s="37"/>
      <c r="B84" s="83"/>
      <c r="C84" s="83"/>
      <c r="D84" s="83"/>
      <c r="E84" s="83"/>
      <c r="F84" s="83"/>
      <c r="G84" s="83"/>
      <c r="H84" s="83"/>
      <c r="I84" s="83"/>
      <c r="J84" s="83"/>
      <c r="K84" s="37"/>
      <c r="M84" s="41"/>
      <c r="N84" s="41"/>
      <c r="O84" s="41"/>
      <c r="P84" s="41"/>
      <c r="Q84" s="37"/>
      <c r="R84" s="37"/>
      <c r="S84" s="37"/>
      <c r="T84" s="37"/>
      <c r="U84" s="37"/>
      <c r="V84" s="37"/>
      <c r="W84" s="37"/>
      <c r="X84" s="37"/>
      <c r="Y84" s="37"/>
      <c r="Z84" s="37"/>
      <c r="AA84" s="37"/>
      <c r="AB84" s="37"/>
      <c r="AC84" s="37"/>
      <c r="AD84" s="37"/>
      <c r="AE84" s="37"/>
      <c r="AF84" s="37"/>
      <c r="AG84" s="37"/>
      <c r="AH84" s="37"/>
      <c r="AI84" s="37"/>
      <c r="AJ84" s="37"/>
      <c r="AK84" s="37"/>
      <c r="AL84" s="37"/>
      <c r="AM84" s="37"/>
      <c r="AN84" s="37"/>
    </row>
    <row r="85" spans="1:40" s="39" customFormat="1" x14ac:dyDescent="0.3">
      <c r="A85" s="37"/>
      <c r="B85" s="83"/>
      <c r="C85" s="83"/>
      <c r="D85" s="83"/>
      <c r="E85" s="83"/>
      <c r="F85" s="83"/>
      <c r="G85" s="83"/>
      <c r="H85" s="83"/>
      <c r="I85" s="83"/>
      <c r="J85" s="83"/>
      <c r="K85" s="37"/>
      <c r="M85" s="41"/>
      <c r="N85" s="41"/>
      <c r="O85" s="41"/>
      <c r="P85" s="41"/>
      <c r="Q85" s="37"/>
      <c r="R85" s="37"/>
      <c r="S85" s="37"/>
      <c r="T85" s="37"/>
      <c r="U85" s="37"/>
      <c r="V85" s="37"/>
      <c r="W85" s="37"/>
      <c r="X85" s="37"/>
      <c r="Y85" s="37"/>
      <c r="Z85" s="37"/>
      <c r="AA85" s="37"/>
      <c r="AB85" s="37"/>
      <c r="AC85" s="37"/>
      <c r="AD85" s="37"/>
      <c r="AE85" s="37"/>
      <c r="AF85" s="37"/>
      <c r="AG85" s="37"/>
      <c r="AH85" s="37"/>
      <c r="AI85" s="37"/>
      <c r="AJ85" s="37"/>
      <c r="AK85" s="37"/>
      <c r="AL85" s="37"/>
      <c r="AM85" s="37"/>
      <c r="AN85" s="37"/>
    </row>
    <row r="86" spans="1:40" s="39" customFormat="1" x14ac:dyDescent="0.3">
      <c r="A86" s="37"/>
      <c r="B86" s="83"/>
      <c r="C86" s="83"/>
      <c r="D86" s="83"/>
      <c r="E86" s="83"/>
      <c r="F86" s="83"/>
      <c r="G86" s="83"/>
      <c r="H86" s="83"/>
      <c r="I86" s="83"/>
      <c r="J86" s="83"/>
      <c r="K86" s="37"/>
      <c r="M86" s="41"/>
      <c r="N86" s="41"/>
      <c r="O86" s="41"/>
      <c r="P86" s="41"/>
      <c r="Q86" s="37"/>
      <c r="R86" s="37"/>
      <c r="S86" s="37"/>
      <c r="T86" s="37"/>
      <c r="U86" s="37"/>
      <c r="V86" s="37"/>
      <c r="W86" s="37"/>
      <c r="X86" s="37"/>
      <c r="Y86" s="37"/>
      <c r="Z86" s="37"/>
      <c r="AA86" s="37"/>
      <c r="AB86" s="37"/>
      <c r="AC86" s="37"/>
      <c r="AD86" s="37"/>
      <c r="AE86" s="37"/>
      <c r="AF86" s="37"/>
      <c r="AG86" s="37"/>
      <c r="AH86" s="37"/>
      <c r="AI86" s="37"/>
      <c r="AJ86" s="37"/>
      <c r="AK86" s="37"/>
      <c r="AL86" s="37"/>
      <c r="AM86" s="37"/>
      <c r="AN86" s="37"/>
    </row>
    <row r="87" spans="1:40" s="39" customFormat="1" x14ac:dyDescent="0.3">
      <c r="A87" s="37"/>
      <c r="B87" s="83"/>
      <c r="C87" s="83"/>
      <c r="D87" s="83"/>
      <c r="E87" s="83"/>
      <c r="F87" s="83"/>
      <c r="G87" s="83"/>
      <c r="H87" s="83"/>
      <c r="I87" s="83"/>
      <c r="J87" s="83"/>
      <c r="K87" s="37"/>
      <c r="M87" s="41"/>
      <c r="N87" s="41"/>
      <c r="O87" s="41"/>
      <c r="P87" s="41"/>
      <c r="Q87" s="37"/>
      <c r="R87" s="37"/>
      <c r="S87" s="37"/>
      <c r="T87" s="37"/>
      <c r="U87" s="37"/>
      <c r="V87" s="37"/>
      <c r="W87" s="37"/>
      <c r="X87" s="37"/>
      <c r="Y87" s="37"/>
      <c r="Z87" s="37"/>
      <c r="AA87" s="37"/>
      <c r="AB87" s="37"/>
      <c r="AC87" s="37"/>
      <c r="AD87" s="37"/>
      <c r="AE87" s="37"/>
      <c r="AF87" s="37"/>
      <c r="AG87" s="37"/>
      <c r="AH87" s="37"/>
      <c r="AI87" s="37"/>
      <c r="AJ87" s="37"/>
      <c r="AK87" s="37"/>
      <c r="AL87" s="37"/>
      <c r="AM87" s="37"/>
      <c r="AN87" s="37"/>
    </row>
    <row r="88" spans="1:40" s="39" customFormat="1" x14ac:dyDescent="0.3">
      <c r="A88" s="37"/>
      <c r="B88" s="83"/>
      <c r="C88" s="83"/>
      <c r="D88" s="83"/>
      <c r="E88" s="83"/>
      <c r="F88" s="83"/>
      <c r="G88" s="83"/>
      <c r="H88" s="83"/>
      <c r="I88" s="83"/>
      <c r="J88" s="83"/>
      <c r="K88" s="37"/>
      <c r="M88" s="41"/>
      <c r="N88" s="41"/>
      <c r="O88" s="41"/>
      <c r="P88" s="41"/>
      <c r="Q88" s="37"/>
      <c r="R88" s="37"/>
      <c r="S88" s="37"/>
      <c r="T88" s="37"/>
      <c r="U88" s="37"/>
      <c r="V88" s="37"/>
      <c r="W88" s="37"/>
      <c r="X88" s="37"/>
      <c r="Y88" s="37"/>
      <c r="Z88" s="37"/>
      <c r="AA88" s="37"/>
      <c r="AB88" s="37"/>
      <c r="AC88" s="37"/>
      <c r="AD88" s="37"/>
      <c r="AE88" s="37"/>
      <c r="AF88" s="37"/>
      <c r="AG88" s="37"/>
      <c r="AH88" s="37"/>
      <c r="AI88" s="37"/>
      <c r="AJ88" s="37"/>
      <c r="AK88" s="37"/>
      <c r="AL88" s="37"/>
      <c r="AM88" s="37"/>
      <c r="AN88" s="37"/>
    </row>
    <row r="89" spans="1:40" s="39" customFormat="1" x14ac:dyDescent="0.3">
      <c r="A89" s="37"/>
      <c r="B89" s="83"/>
      <c r="C89" s="83"/>
      <c r="D89" s="83"/>
      <c r="E89" s="83"/>
      <c r="F89" s="83"/>
      <c r="G89" s="83"/>
      <c r="H89" s="83"/>
      <c r="I89" s="83"/>
      <c r="J89" s="83"/>
      <c r="K89" s="37"/>
      <c r="M89" s="41"/>
      <c r="N89" s="41"/>
      <c r="O89" s="41"/>
      <c r="P89" s="41"/>
      <c r="Q89" s="37"/>
      <c r="R89" s="37"/>
      <c r="S89" s="37"/>
      <c r="T89" s="37"/>
      <c r="U89" s="37"/>
      <c r="V89" s="37"/>
      <c r="W89" s="37"/>
      <c r="X89" s="37"/>
      <c r="Y89" s="37"/>
      <c r="Z89" s="37"/>
      <c r="AA89" s="37"/>
      <c r="AB89" s="37"/>
      <c r="AC89" s="37"/>
      <c r="AD89" s="37"/>
      <c r="AE89" s="37"/>
      <c r="AF89" s="37"/>
      <c r="AG89" s="37"/>
      <c r="AH89" s="37"/>
      <c r="AI89" s="37"/>
      <c r="AJ89" s="37"/>
      <c r="AK89" s="37"/>
      <c r="AL89" s="37"/>
      <c r="AM89" s="37"/>
      <c r="AN89" s="37"/>
    </row>
    <row r="90" spans="1:40" s="39" customFormat="1" x14ac:dyDescent="0.3">
      <c r="A90" s="45"/>
      <c r="B90" s="83"/>
      <c r="C90" s="83"/>
      <c r="D90" s="83"/>
      <c r="E90" s="83"/>
      <c r="F90" s="83"/>
      <c r="G90" s="83"/>
      <c r="H90" s="83"/>
      <c r="I90" s="83"/>
      <c r="J90" s="83"/>
      <c r="K90" s="45"/>
      <c r="M90" s="41"/>
      <c r="N90" s="41"/>
      <c r="O90" s="41"/>
      <c r="P90" s="41"/>
      <c r="Q90" s="37"/>
      <c r="R90" s="37"/>
      <c r="S90" s="37"/>
      <c r="T90" s="37"/>
      <c r="U90" s="37"/>
      <c r="V90" s="37"/>
      <c r="W90" s="37"/>
      <c r="X90" s="37"/>
      <c r="Y90" s="37"/>
      <c r="Z90" s="37"/>
      <c r="AA90" s="37"/>
      <c r="AB90" s="37"/>
      <c r="AC90" s="37"/>
      <c r="AD90" s="37"/>
      <c r="AE90" s="37"/>
      <c r="AF90" s="37"/>
      <c r="AG90" s="37"/>
      <c r="AH90" s="37"/>
      <c r="AI90" s="37"/>
      <c r="AJ90" s="37"/>
      <c r="AK90" s="37"/>
      <c r="AL90" s="37"/>
      <c r="AM90" s="37"/>
      <c r="AN90" s="37"/>
    </row>
    <row r="91" spans="1:40" s="39" customFormat="1" x14ac:dyDescent="0.3">
      <c r="A91" s="45"/>
      <c r="B91" s="83"/>
      <c r="C91" s="83"/>
      <c r="D91" s="83"/>
      <c r="E91" s="83"/>
      <c r="F91" s="83"/>
      <c r="G91" s="83"/>
      <c r="H91" s="83"/>
      <c r="I91" s="83"/>
      <c r="J91" s="83"/>
      <c r="K91" s="45"/>
      <c r="M91" s="41"/>
      <c r="N91" s="41"/>
      <c r="O91" s="41"/>
      <c r="P91" s="41"/>
      <c r="Q91" s="37"/>
      <c r="R91" s="37"/>
      <c r="S91" s="37"/>
      <c r="T91" s="37"/>
      <c r="U91" s="37"/>
      <c r="V91" s="37"/>
      <c r="W91" s="37"/>
      <c r="X91" s="37"/>
      <c r="Y91" s="37"/>
      <c r="Z91" s="37"/>
      <c r="AA91" s="37"/>
      <c r="AB91" s="37"/>
      <c r="AC91" s="37"/>
      <c r="AD91" s="37"/>
      <c r="AE91" s="37"/>
      <c r="AF91" s="37"/>
      <c r="AG91" s="37"/>
      <c r="AH91" s="37"/>
      <c r="AI91" s="37"/>
      <c r="AJ91" s="37"/>
      <c r="AK91" s="37"/>
      <c r="AL91" s="37"/>
      <c r="AM91" s="37"/>
      <c r="AN91" s="37"/>
    </row>
    <row r="92" spans="1:40" s="39" customFormat="1" x14ac:dyDescent="0.3">
      <c r="A92" s="45"/>
      <c r="B92" s="83"/>
      <c r="C92" s="83"/>
      <c r="D92" s="83"/>
      <c r="E92" s="83"/>
      <c r="F92" s="83"/>
      <c r="G92" s="83"/>
      <c r="H92" s="83"/>
      <c r="I92" s="83"/>
      <c r="J92" s="83"/>
      <c r="K92" s="45"/>
      <c r="M92" s="41"/>
      <c r="N92" s="41"/>
      <c r="O92" s="41"/>
      <c r="P92" s="41"/>
      <c r="Q92" s="37"/>
      <c r="R92" s="37"/>
      <c r="S92" s="37"/>
      <c r="T92" s="37"/>
      <c r="U92" s="37"/>
      <c r="V92" s="37"/>
      <c r="W92" s="37"/>
      <c r="X92" s="37"/>
      <c r="Y92" s="37"/>
      <c r="Z92" s="37"/>
      <c r="AA92" s="37"/>
      <c r="AB92" s="37"/>
      <c r="AC92" s="37"/>
      <c r="AD92" s="37"/>
      <c r="AE92" s="37"/>
      <c r="AF92" s="37"/>
      <c r="AG92" s="37"/>
      <c r="AH92" s="37"/>
      <c r="AI92" s="37"/>
      <c r="AJ92" s="37"/>
      <c r="AK92" s="37"/>
      <c r="AL92" s="37"/>
      <c r="AM92" s="37"/>
      <c r="AN92" s="37"/>
    </row>
    <row r="93" spans="1:40" s="39" customFormat="1" x14ac:dyDescent="0.3">
      <c r="A93" s="45"/>
      <c r="B93" s="83"/>
      <c r="C93" s="83"/>
      <c r="D93" s="83"/>
      <c r="E93" s="83"/>
      <c r="F93" s="83"/>
      <c r="G93" s="83"/>
      <c r="H93" s="83"/>
      <c r="I93" s="83"/>
      <c r="J93" s="83"/>
      <c r="K93" s="45"/>
      <c r="M93" s="41"/>
      <c r="N93" s="41"/>
      <c r="O93" s="41"/>
      <c r="P93" s="41"/>
      <c r="Q93" s="37"/>
      <c r="R93" s="37"/>
      <c r="S93" s="37"/>
      <c r="T93" s="37"/>
      <c r="U93" s="37"/>
      <c r="V93" s="37"/>
      <c r="W93" s="37"/>
      <c r="X93" s="37"/>
      <c r="Y93" s="37"/>
      <c r="Z93" s="37"/>
      <c r="AA93" s="37"/>
      <c r="AB93" s="37"/>
      <c r="AC93" s="37"/>
      <c r="AD93" s="37"/>
      <c r="AE93" s="37"/>
      <c r="AF93" s="37"/>
      <c r="AG93" s="37"/>
      <c r="AH93" s="37"/>
      <c r="AI93" s="37"/>
      <c r="AJ93" s="37"/>
      <c r="AK93" s="37"/>
      <c r="AL93" s="37"/>
      <c r="AM93" s="37"/>
      <c r="AN93" s="37"/>
    </row>
    <row r="94" spans="1:40" s="39" customFormat="1" x14ac:dyDescent="0.3">
      <c r="A94" s="45"/>
      <c r="B94" s="83"/>
      <c r="C94" s="83"/>
      <c r="D94" s="83"/>
      <c r="E94" s="83"/>
      <c r="F94" s="83"/>
      <c r="G94" s="83"/>
      <c r="H94" s="83"/>
      <c r="I94" s="83"/>
      <c r="J94" s="83"/>
      <c r="K94" s="45"/>
      <c r="M94" s="41"/>
      <c r="N94" s="41"/>
      <c r="O94" s="41"/>
      <c r="P94" s="41"/>
      <c r="Q94" s="37"/>
      <c r="R94" s="37"/>
      <c r="S94" s="37"/>
      <c r="T94" s="37"/>
      <c r="U94" s="37"/>
      <c r="V94" s="37"/>
      <c r="W94" s="37"/>
      <c r="X94" s="37"/>
      <c r="Y94" s="37"/>
      <c r="Z94" s="37"/>
      <c r="AA94" s="37"/>
      <c r="AB94" s="37"/>
      <c r="AC94" s="37"/>
      <c r="AD94" s="37"/>
      <c r="AE94" s="37"/>
      <c r="AF94" s="37"/>
      <c r="AG94" s="37"/>
      <c r="AH94" s="37"/>
      <c r="AI94" s="37"/>
      <c r="AJ94" s="37"/>
      <c r="AK94" s="37"/>
      <c r="AL94" s="37"/>
      <c r="AM94" s="37"/>
      <c r="AN94" s="37"/>
    </row>
    <row r="95" spans="1:40" s="39" customFormat="1" x14ac:dyDescent="0.3">
      <c r="A95" s="45"/>
      <c r="B95" s="83"/>
      <c r="C95" s="83"/>
      <c r="D95" s="83"/>
      <c r="E95" s="83"/>
      <c r="F95" s="83"/>
      <c r="G95" s="83"/>
      <c r="H95" s="83"/>
      <c r="I95" s="83"/>
      <c r="J95" s="83"/>
      <c r="K95" s="45"/>
      <c r="M95" s="41"/>
      <c r="N95" s="41"/>
      <c r="O95" s="41"/>
      <c r="P95" s="41"/>
      <c r="Q95" s="37"/>
      <c r="R95" s="37"/>
      <c r="S95" s="37"/>
      <c r="T95" s="37"/>
      <c r="U95" s="37"/>
      <c r="V95" s="37"/>
      <c r="W95" s="37"/>
      <c r="X95" s="37"/>
      <c r="Y95" s="37"/>
      <c r="Z95" s="37"/>
      <c r="AA95" s="37"/>
      <c r="AB95" s="37"/>
      <c r="AC95" s="37"/>
      <c r="AD95" s="37"/>
      <c r="AE95" s="37"/>
      <c r="AF95" s="37"/>
      <c r="AG95" s="37"/>
      <c r="AH95" s="37"/>
      <c r="AI95" s="37"/>
      <c r="AJ95" s="37"/>
      <c r="AK95" s="37"/>
      <c r="AL95" s="37"/>
      <c r="AM95" s="37"/>
      <c r="AN95" s="37"/>
    </row>
    <row r="96" spans="1:40" s="39" customFormat="1" x14ac:dyDescent="0.3">
      <c r="A96" s="45"/>
      <c r="B96" s="48"/>
      <c r="C96" s="84"/>
      <c r="D96" s="45"/>
      <c r="E96" s="59"/>
      <c r="F96" s="45"/>
      <c r="G96" s="45"/>
      <c r="H96" s="45"/>
      <c r="I96" s="45"/>
      <c r="J96" s="45"/>
      <c r="K96" s="45"/>
      <c r="M96" s="41"/>
      <c r="N96" s="41"/>
      <c r="O96" s="41"/>
      <c r="P96" s="41"/>
      <c r="Q96" s="37"/>
      <c r="R96" s="37"/>
      <c r="S96" s="37"/>
      <c r="T96" s="37"/>
      <c r="U96" s="37"/>
      <c r="V96" s="37"/>
      <c r="W96" s="37"/>
      <c r="X96" s="37"/>
      <c r="Y96" s="37"/>
      <c r="Z96" s="37"/>
      <c r="AA96" s="37"/>
      <c r="AB96" s="37"/>
      <c r="AC96" s="37"/>
      <c r="AD96" s="37"/>
      <c r="AE96" s="37"/>
      <c r="AF96" s="37"/>
      <c r="AG96" s="37"/>
      <c r="AH96" s="37"/>
      <c r="AI96" s="37"/>
      <c r="AJ96" s="37"/>
      <c r="AK96" s="37"/>
      <c r="AL96" s="37"/>
      <c r="AM96" s="37"/>
      <c r="AN96" s="37"/>
    </row>
    <row r="97" spans="1:40" s="39" customFormat="1" x14ac:dyDescent="0.3">
      <c r="A97" s="45"/>
      <c r="B97" s="48"/>
      <c r="D97" s="45"/>
      <c r="E97" s="45"/>
      <c r="F97" s="45"/>
      <c r="G97" s="45"/>
      <c r="H97" s="45"/>
      <c r="I97" s="45"/>
      <c r="J97" s="45"/>
      <c r="K97" s="45"/>
      <c r="M97" s="41"/>
      <c r="N97" s="41"/>
      <c r="O97" s="41"/>
      <c r="P97" s="41"/>
      <c r="Q97" s="37"/>
      <c r="R97" s="37"/>
      <c r="S97" s="37"/>
      <c r="T97" s="37"/>
      <c r="U97" s="37"/>
      <c r="V97" s="37"/>
      <c r="W97" s="37"/>
      <c r="X97" s="37"/>
      <c r="Y97" s="37"/>
      <c r="Z97" s="37"/>
      <c r="AA97" s="37"/>
      <c r="AB97" s="37"/>
      <c r="AC97" s="37"/>
      <c r="AD97" s="37"/>
      <c r="AE97" s="37"/>
      <c r="AF97" s="37"/>
      <c r="AG97" s="37"/>
      <c r="AH97" s="37"/>
      <c r="AI97" s="37"/>
      <c r="AJ97" s="37"/>
      <c r="AK97" s="37"/>
      <c r="AL97" s="37"/>
      <c r="AM97" s="37"/>
      <c r="AN97" s="37"/>
    </row>
    <row r="98" spans="1:40" s="39" customFormat="1" x14ac:dyDescent="0.3">
      <c r="A98" s="45"/>
      <c r="B98" s="48"/>
      <c r="D98" s="45"/>
      <c r="E98" s="45"/>
      <c r="F98" s="45"/>
      <c r="G98" s="45"/>
      <c r="H98" s="45"/>
      <c r="I98" s="45"/>
      <c r="J98" s="45"/>
      <c r="K98" s="45"/>
      <c r="M98" s="41"/>
      <c r="N98" s="41"/>
      <c r="O98" s="41"/>
      <c r="P98" s="41"/>
      <c r="Q98" s="37"/>
      <c r="R98" s="37"/>
      <c r="S98" s="37"/>
      <c r="T98" s="37"/>
      <c r="U98" s="37"/>
      <c r="V98" s="37"/>
      <c r="W98" s="37"/>
      <c r="X98" s="37"/>
      <c r="Y98" s="37"/>
      <c r="Z98" s="37"/>
      <c r="AA98" s="37"/>
      <c r="AB98" s="37"/>
      <c r="AC98" s="37"/>
      <c r="AD98" s="37"/>
      <c r="AE98" s="37"/>
      <c r="AF98" s="37"/>
      <c r="AG98" s="37"/>
      <c r="AH98" s="37"/>
      <c r="AI98" s="37"/>
      <c r="AJ98" s="37"/>
      <c r="AK98" s="37"/>
      <c r="AL98" s="37"/>
      <c r="AM98" s="37"/>
      <c r="AN98" s="37"/>
    </row>
    <row r="99" spans="1:40" s="39" customFormat="1" x14ac:dyDescent="0.3">
      <c r="A99" s="45"/>
      <c r="B99" s="48"/>
      <c r="D99" s="45"/>
      <c r="E99" s="45"/>
      <c r="F99" s="45"/>
      <c r="G99" s="45"/>
      <c r="H99" s="45"/>
      <c r="I99" s="45"/>
      <c r="J99" s="45"/>
      <c r="K99" s="45"/>
      <c r="M99" s="41"/>
      <c r="N99" s="41"/>
      <c r="O99" s="41"/>
      <c r="P99" s="41"/>
      <c r="Q99" s="37"/>
      <c r="R99" s="37"/>
      <c r="S99" s="37"/>
      <c r="T99" s="37"/>
      <c r="U99" s="37"/>
      <c r="V99" s="37"/>
      <c r="W99" s="37"/>
      <c r="X99" s="37"/>
      <c r="Y99" s="37"/>
      <c r="Z99" s="37"/>
      <c r="AA99" s="37"/>
      <c r="AB99" s="37"/>
      <c r="AC99" s="37"/>
      <c r="AD99" s="37"/>
      <c r="AE99" s="37"/>
      <c r="AF99" s="37"/>
      <c r="AG99" s="37"/>
      <c r="AH99" s="37"/>
      <c r="AI99" s="37"/>
      <c r="AJ99" s="37"/>
      <c r="AK99" s="37"/>
      <c r="AL99" s="37"/>
      <c r="AM99" s="37"/>
      <c r="AN99" s="37"/>
    </row>
    <row r="100" spans="1:40" s="39" customFormat="1" x14ac:dyDescent="0.3">
      <c r="A100" s="45"/>
      <c r="B100" s="48"/>
      <c r="D100" s="45"/>
      <c r="E100" s="45"/>
      <c r="F100" s="45"/>
      <c r="G100" s="45"/>
      <c r="H100" s="48"/>
      <c r="I100" s="59"/>
      <c r="J100" s="45"/>
      <c r="K100" s="45"/>
      <c r="M100" s="41"/>
      <c r="N100" s="41"/>
      <c r="O100" s="41"/>
      <c r="P100" s="41"/>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row>
    <row r="101" spans="1:40" s="39" customFormat="1" x14ac:dyDescent="0.3">
      <c r="A101" s="45"/>
      <c r="B101" s="48"/>
      <c r="D101" s="45"/>
      <c r="E101" s="45"/>
      <c r="F101" s="45"/>
      <c r="K101" s="45"/>
      <c r="M101" s="41"/>
      <c r="N101" s="41"/>
      <c r="O101" s="41"/>
      <c r="P101" s="41"/>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row>
    <row r="102" spans="1:40" s="39" customFormat="1" x14ac:dyDescent="0.3">
      <c r="A102" s="45"/>
      <c r="B102" s="45"/>
      <c r="C102" s="45"/>
      <c r="D102" s="45"/>
      <c r="E102" s="45"/>
      <c r="F102" s="45"/>
      <c r="G102" s="45"/>
      <c r="H102" s="45"/>
      <c r="I102" s="45"/>
      <c r="J102" s="45"/>
      <c r="K102" s="45"/>
      <c r="M102" s="41"/>
      <c r="N102" s="41"/>
      <c r="O102" s="41"/>
      <c r="P102" s="41"/>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row>
    <row r="103" spans="1:40" s="39" customFormat="1" x14ac:dyDescent="0.3">
      <c r="A103" s="45"/>
      <c r="B103" s="45"/>
      <c r="C103" s="45"/>
      <c r="D103" s="45"/>
      <c r="E103" s="45"/>
      <c r="F103" s="45"/>
      <c r="G103" s="45"/>
      <c r="H103" s="45"/>
      <c r="I103" s="45"/>
      <c r="J103" s="45"/>
      <c r="K103" s="45"/>
      <c r="M103" s="41"/>
      <c r="N103" s="41"/>
      <c r="O103" s="41"/>
      <c r="P103" s="41"/>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row>
    <row r="104" spans="1:40" s="39" customFormat="1" x14ac:dyDescent="0.3">
      <c r="A104" s="45"/>
      <c r="B104" s="45"/>
      <c r="C104" s="45"/>
      <c r="D104" s="45"/>
      <c r="E104" s="45"/>
      <c r="F104" s="45"/>
      <c r="G104" s="45"/>
      <c r="H104" s="45"/>
      <c r="I104" s="45"/>
      <c r="J104" s="45"/>
      <c r="K104" s="45"/>
      <c r="M104" s="41"/>
      <c r="N104" s="41"/>
      <c r="O104" s="41"/>
      <c r="P104" s="41"/>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row>
    <row r="105" spans="1:40" s="39" customFormat="1" x14ac:dyDescent="0.3">
      <c r="A105" s="45"/>
      <c r="B105" s="45"/>
      <c r="C105" s="45"/>
      <c r="D105" s="45"/>
      <c r="E105" s="45"/>
      <c r="F105" s="45"/>
      <c r="G105" s="45"/>
      <c r="H105" s="45"/>
      <c r="I105" s="45"/>
      <c r="J105" s="45"/>
      <c r="K105" s="45"/>
      <c r="M105" s="41"/>
      <c r="N105" s="41"/>
      <c r="O105" s="41"/>
      <c r="P105" s="41"/>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row>
    <row r="106" spans="1:40" s="39" customFormat="1" x14ac:dyDescent="0.3">
      <c r="A106" s="45"/>
      <c r="B106" s="45"/>
      <c r="C106" s="45"/>
      <c r="D106" s="45"/>
      <c r="E106" s="45"/>
      <c r="F106" s="45"/>
      <c r="G106" s="45"/>
      <c r="H106" s="45"/>
      <c r="I106" s="45"/>
      <c r="J106" s="45"/>
      <c r="K106" s="45"/>
      <c r="M106" s="41"/>
      <c r="N106" s="41"/>
      <c r="O106" s="41"/>
      <c r="P106" s="41"/>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row>
  </sheetData>
  <pageMargins left="0.47244094488188981" right="0.23622047244094491" top="0.31496062992125984" bottom="0.98425196850393704" header="0.43307086614173229" footer="0.59055118110236227"/>
  <pageSetup orientation="portrait" horizontalDpi="300" r:id="rId1"/>
  <headerFooter alignWithMargins="0">
    <oddFooter>&amp;C&amp;"Arial,Bold"ABBOTT AEROSPACE INC. PROPRIETARY INFORMATION&amp;"Arial,Regular"
Subject to restrictions on the cover or first page</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38"/>
  <sheetViews>
    <sheetView tabSelected="1" view="pageBreakPreview" zoomScale="85" zoomScaleNormal="100" zoomScaleSheetLayoutView="85" workbookViewId="0">
      <selection activeCell="I24" sqref="I24"/>
    </sheetView>
  </sheetViews>
  <sheetFormatPr defaultColWidth="9.109375" defaultRowHeight="15.6" x14ac:dyDescent="0.3"/>
  <cols>
    <col min="1" max="2" width="9.109375" style="37"/>
    <col min="3" max="3" width="9.5546875" style="37" bestFit="1" customWidth="1"/>
    <col min="4" max="11" width="9.109375" style="37"/>
    <col min="12" max="12" width="5.44140625" style="39" customWidth="1"/>
    <col min="13" max="20" width="4.88671875" style="41" customWidth="1"/>
    <col min="21" max="16384" width="9.109375" style="37"/>
  </cols>
  <sheetData>
    <row r="1" spans="1:20" x14ac:dyDescent="0.3">
      <c r="A1" s="35" t="s">
        <v>72</v>
      </c>
      <c r="B1" s="36" t="s">
        <v>10</v>
      </c>
      <c r="D1" s="35" t="s">
        <v>73</v>
      </c>
      <c r="E1" s="38">
        <v>9</v>
      </c>
      <c r="M1" s="40"/>
      <c r="N1" s="40"/>
      <c r="O1" s="40"/>
      <c r="P1" s="40"/>
      <c r="Q1" s="40"/>
      <c r="R1" s="40"/>
      <c r="S1" s="40"/>
      <c r="T1" s="40"/>
    </row>
    <row r="2" spans="1:20" x14ac:dyDescent="0.3">
      <c r="A2" s="35" t="s">
        <v>74</v>
      </c>
      <c r="B2" s="36" t="s">
        <v>71</v>
      </c>
      <c r="D2" s="35" t="s">
        <v>75</v>
      </c>
      <c r="E2" s="38" t="s">
        <v>173</v>
      </c>
    </row>
    <row r="3" spans="1:20" x14ac:dyDescent="0.3">
      <c r="A3" s="35" t="s">
        <v>7</v>
      </c>
      <c r="B3" s="42" t="s">
        <v>29</v>
      </c>
      <c r="D3" s="35" t="s">
        <v>9</v>
      </c>
      <c r="E3" s="36" t="s">
        <v>8</v>
      </c>
    </row>
    <row r="4" spans="1:20" x14ac:dyDescent="0.3">
      <c r="A4" s="35" t="s">
        <v>24</v>
      </c>
      <c r="B4" s="43">
        <v>3</v>
      </c>
      <c r="D4" s="35" t="s">
        <v>76</v>
      </c>
      <c r="E4" s="44" t="s">
        <v>77</v>
      </c>
    </row>
    <row r="5" spans="1:20" x14ac:dyDescent="0.3">
      <c r="A5" s="35"/>
      <c r="B5" s="45"/>
      <c r="D5" s="35"/>
      <c r="E5" s="46"/>
      <c r="M5" s="41">
        <f>SUM('Aircraft Parameters'!M:M)</f>
        <v>2</v>
      </c>
    </row>
    <row r="6" spans="1:20" x14ac:dyDescent="0.3">
      <c r="B6" s="47"/>
    </row>
    <row r="8" spans="1:20" s="45" customFormat="1" ht="13.8" x14ac:dyDescent="0.3">
      <c r="A8" s="24"/>
      <c r="B8" s="19"/>
      <c r="C8" s="19"/>
      <c r="D8" s="19"/>
      <c r="E8" s="48" t="s">
        <v>72</v>
      </c>
      <c r="F8" s="49" t="str">
        <f>$B$1</f>
        <v>R. Abbott</v>
      </c>
      <c r="H8" s="50"/>
      <c r="I8" s="48" t="s">
        <v>78</v>
      </c>
      <c r="J8" s="51" t="str">
        <f>$E$2</f>
        <v>AA-SM-221</v>
      </c>
      <c r="K8" s="52"/>
      <c r="L8" s="39"/>
      <c r="M8" s="41"/>
      <c r="N8" s="41"/>
      <c r="O8" s="41"/>
      <c r="P8" s="41"/>
      <c r="Q8" s="41"/>
      <c r="R8" s="41"/>
      <c r="S8" s="41"/>
      <c r="T8" s="41"/>
    </row>
    <row r="9" spans="1:20" s="45" customFormat="1" ht="13.8" x14ac:dyDescent="0.3">
      <c r="A9" s="19"/>
      <c r="B9" s="19"/>
      <c r="C9" s="19"/>
      <c r="D9" s="19"/>
      <c r="E9" s="48" t="s">
        <v>74</v>
      </c>
      <c r="F9" s="50" t="str">
        <f>$B$2</f>
        <v xml:space="preserve"> </v>
      </c>
      <c r="H9" s="50"/>
      <c r="I9" s="48" t="s">
        <v>79</v>
      </c>
      <c r="J9" s="52" t="str">
        <f>$E$3</f>
        <v>A</v>
      </c>
      <c r="K9" s="52"/>
      <c r="L9" s="39"/>
      <c r="M9" s="41">
        <v>1</v>
      </c>
      <c r="N9" s="41"/>
      <c r="O9" s="41"/>
      <c r="P9" s="41"/>
      <c r="Q9" s="41"/>
      <c r="R9" s="41"/>
      <c r="S9" s="41"/>
      <c r="T9" s="41"/>
    </row>
    <row r="10" spans="1:20" s="45" customFormat="1" ht="13.8" x14ac:dyDescent="0.3">
      <c r="A10" s="19"/>
      <c r="B10" s="19"/>
      <c r="C10" s="19"/>
      <c r="D10" s="19"/>
      <c r="E10" s="48" t="s">
        <v>7</v>
      </c>
      <c r="F10" s="50" t="str">
        <f>$B$3</f>
        <v>Aug 2010</v>
      </c>
      <c r="H10" s="50"/>
      <c r="I10" s="48" t="s">
        <v>80</v>
      </c>
      <c r="J10" s="49" t="str">
        <f>$B$5&amp;L10&amp;" of "&amp;$B$5&amp;$E$1</f>
        <v>3 of 9</v>
      </c>
      <c r="K10" s="50"/>
      <c r="L10" s="39">
        <f>SUM($M$1:M9)</f>
        <v>3</v>
      </c>
      <c r="M10" s="41"/>
      <c r="N10" s="41"/>
      <c r="O10" s="41"/>
      <c r="P10" s="41"/>
      <c r="Q10" s="41"/>
      <c r="R10" s="41"/>
      <c r="S10" s="41"/>
      <c r="T10" s="41"/>
    </row>
    <row r="11" spans="1:20" s="45" customFormat="1" ht="13.8" x14ac:dyDescent="0.3">
      <c r="L11" s="39"/>
      <c r="M11" s="41"/>
      <c r="N11" s="41"/>
      <c r="O11" s="41"/>
      <c r="P11" s="41"/>
      <c r="Q11" s="41"/>
      <c r="R11" s="41"/>
      <c r="S11" s="41"/>
      <c r="T11" s="41"/>
    </row>
    <row r="12" spans="1:20" s="45" customFormat="1" ht="13.8" x14ac:dyDescent="0.3">
      <c r="I12" s="53"/>
      <c r="J12" s="49"/>
      <c r="L12" s="39"/>
      <c r="M12" s="41"/>
      <c r="N12" s="41"/>
      <c r="O12" s="41"/>
      <c r="P12" s="41"/>
      <c r="Q12" s="41"/>
      <c r="R12" s="41"/>
      <c r="S12" s="41"/>
      <c r="T12" s="41"/>
    </row>
    <row r="13" spans="1:20" x14ac:dyDescent="0.3">
      <c r="B13" s="38" t="str">
        <f>($B$4)&amp;".0 "&amp;$E$4</f>
        <v>3.0 GENERAL</v>
      </c>
    </row>
    <row r="14" spans="1:20" s="45" customFormat="1" ht="13.8" x14ac:dyDescent="0.3">
      <c r="L14" s="39"/>
      <c r="M14" s="41"/>
      <c r="N14" s="41"/>
      <c r="O14" s="41"/>
      <c r="P14" s="41"/>
      <c r="Q14" s="41"/>
      <c r="R14" s="41"/>
      <c r="S14" s="41"/>
      <c r="T14" s="41"/>
    </row>
    <row r="15" spans="1:20" s="45" customFormat="1" ht="13.8" x14ac:dyDescent="0.3">
      <c r="B15" s="109" t="s">
        <v>158</v>
      </c>
      <c r="C15" s="109"/>
      <c r="D15" s="109"/>
      <c r="E15" s="109"/>
      <c r="F15" s="109"/>
      <c r="G15" s="109"/>
      <c r="H15" s="109"/>
      <c r="I15" s="109"/>
      <c r="J15" s="109"/>
      <c r="L15" s="39"/>
      <c r="M15" s="41"/>
      <c r="N15" s="41"/>
      <c r="O15" s="41"/>
      <c r="P15" s="41"/>
      <c r="Q15" s="41"/>
      <c r="R15" s="41"/>
      <c r="S15" s="41"/>
      <c r="T15" s="41"/>
    </row>
    <row r="16" spans="1:20" s="45" customFormat="1" ht="13.8" x14ac:dyDescent="0.3">
      <c r="B16" s="109"/>
      <c r="C16" s="109"/>
      <c r="D16" s="109"/>
      <c r="E16" s="109"/>
      <c r="F16" s="109"/>
      <c r="G16" s="109"/>
      <c r="H16" s="109"/>
      <c r="I16" s="109"/>
      <c r="J16" s="109"/>
      <c r="L16" s="39"/>
      <c r="M16" s="41"/>
      <c r="N16" s="41"/>
      <c r="O16" s="41"/>
      <c r="P16" s="41"/>
      <c r="Q16" s="41"/>
      <c r="R16" s="41"/>
      <c r="S16" s="41"/>
      <c r="T16" s="41"/>
    </row>
    <row r="17" spans="2:20" s="45" customFormat="1" ht="13.8" x14ac:dyDescent="0.3">
      <c r="B17" s="109"/>
      <c r="C17" s="109"/>
      <c r="D17" s="109"/>
      <c r="E17" s="109"/>
      <c r="F17" s="109"/>
      <c r="G17" s="109"/>
      <c r="H17" s="109"/>
      <c r="I17" s="109"/>
      <c r="J17" s="109"/>
      <c r="L17" s="39"/>
      <c r="M17" s="41"/>
      <c r="N17" s="41"/>
      <c r="O17" s="41"/>
      <c r="P17" s="41"/>
      <c r="Q17" s="41"/>
      <c r="R17" s="41"/>
      <c r="S17" s="41"/>
      <c r="T17" s="41"/>
    </row>
    <row r="18" spans="2:20" s="45" customFormat="1" ht="13.8" x14ac:dyDescent="0.3">
      <c r="B18" s="109"/>
      <c r="C18" s="109"/>
      <c r="D18" s="109"/>
      <c r="E18" s="109"/>
      <c r="F18" s="109"/>
      <c r="G18" s="109"/>
      <c r="H18" s="109"/>
      <c r="I18" s="109"/>
      <c r="J18" s="109"/>
      <c r="L18" s="39"/>
      <c r="M18" s="41"/>
      <c r="N18" s="41"/>
      <c r="O18" s="41"/>
      <c r="P18" s="41"/>
      <c r="Q18" s="41"/>
      <c r="R18" s="41"/>
      <c r="S18" s="41"/>
      <c r="T18" s="41"/>
    </row>
    <row r="19" spans="2:20" s="45" customFormat="1" ht="13.8" x14ac:dyDescent="0.3">
      <c r="B19" s="109"/>
      <c r="C19" s="109"/>
      <c r="D19" s="109"/>
      <c r="E19" s="109"/>
      <c r="F19" s="109"/>
      <c r="G19" s="109"/>
      <c r="H19" s="109"/>
      <c r="I19" s="109"/>
      <c r="J19" s="109"/>
      <c r="L19" s="39"/>
      <c r="M19" s="41"/>
      <c r="N19" s="41"/>
      <c r="O19" s="41"/>
      <c r="P19" s="41"/>
      <c r="Q19" s="41"/>
      <c r="R19" s="41"/>
      <c r="S19" s="41"/>
      <c r="T19" s="41"/>
    </row>
    <row r="20" spans="2:20" s="45" customFormat="1" ht="13.8" x14ac:dyDescent="0.3">
      <c r="B20" s="54"/>
      <c r="C20" s="54"/>
      <c r="D20" s="54"/>
      <c r="E20" s="54"/>
      <c r="F20" s="54"/>
      <c r="G20" s="54"/>
      <c r="H20" s="54"/>
      <c r="I20" s="54"/>
      <c r="J20" s="54"/>
      <c r="L20" s="39"/>
      <c r="M20" s="41"/>
      <c r="N20" s="41"/>
      <c r="O20" s="41"/>
      <c r="P20" s="41"/>
      <c r="Q20" s="41"/>
      <c r="R20" s="41"/>
      <c r="S20" s="41"/>
      <c r="T20" s="41"/>
    </row>
    <row r="21" spans="2:20" s="45" customFormat="1" ht="13.8" x14ac:dyDescent="0.3">
      <c r="B21" s="54" t="s">
        <v>92</v>
      </c>
      <c r="C21" s="54"/>
      <c r="D21" s="54"/>
      <c r="E21" s="54"/>
      <c r="F21" s="54"/>
      <c r="G21" s="54"/>
      <c r="H21" s="54"/>
      <c r="I21" s="54"/>
      <c r="J21" s="54"/>
      <c r="L21" s="39"/>
      <c r="M21" s="41"/>
      <c r="N21" s="41"/>
      <c r="O21" s="41"/>
      <c r="P21" s="41"/>
      <c r="Q21" s="41"/>
      <c r="R21" s="41"/>
      <c r="S21" s="41"/>
      <c r="T21" s="41"/>
    </row>
    <row r="22" spans="2:20" s="45" customFormat="1" ht="13.8" x14ac:dyDescent="0.3">
      <c r="B22" s="54"/>
      <c r="C22" s="54"/>
      <c r="D22" s="54"/>
      <c r="E22" s="54"/>
      <c r="F22" s="54"/>
      <c r="G22" s="54"/>
      <c r="H22" s="54"/>
      <c r="I22" s="54"/>
      <c r="J22" s="54"/>
      <c r="L22" s="39"/>
      <c r="M22" s="41"/>
      <c r="N22" s="41"/>
      <c r="O22" s="41"/>
      <c r="P22" s="41"/>
      <c r="Q22" s="41"/>
      <c r="R22" s="41"/>
      <c r="S22" s="41"/>
      <c r="T22" s="41"/>
    </row>
    <row r="23" spans="2:20" s="45" customFormat="1" ht="13.8" x14ac:dyDescent="0.3">
      <c r="B23" s="50" t="s">
        <v>69</v>
      </c>
      <c r="F23" s="55"/>
      <c r="H23" s="54"/>
      <c r="I23" s="54"/>
      <c r="J23" s="54"/>
      <c r="L23" s="39"/>
      <c r="M23" s="41"/>
      <c r="N23" s="41"/>
      <c r="O23" s="41"/>
      <c r="P23" s="41"/>
      <c r="Q23" s="41"/>
      <c r="R23" s="41"/>
      <c r="S23" s="41"/>
      <c r="T23" s="41"/>
    </row>
    <row r="24" spans="2:20" s="45" customFormat="1" ht="13.8" x14ac:dyDescent="0.3">
      <c r="B24" s="45" t="s">
        <v>68</v>
      </c>
      <c r="H24" s="54"/>
      <c r="I24" s="54"/>
      <c r="J24" s="54"/>
      <c r="L24" s="39"/>
      <c r="M24" s="41"/>
      <c r="N24" s="41"/>
      <c r="O24" s="41"/>
      <c r="P24" s="41"/>
      <c r="Q24" s="41"/>
      <c r="R24" s="41"/>
      <c r="S24" s="41"/>
      <c r="T24" s="41"/>
    </row>
    <row r="25" spans="2:20" s="45" customFormat="1" ht="13.8" x14ac:dyDescent="0.3">
      <c r="B25" s="50" t="s">
        <v>167</v>
      </c>
      <c r="H25" s="54"/>
      <c r="I25" s="54"/>
      <c r="J25" s="54"/>
      <c r="L25" s="39"/>
      <c r="M25" s="41"/>
      <c r="N25" s="41"/>
      <c r="O25" s="41"/>
      <c r="P25" s="41"/>
      <c r="Q25" s="41"/>
      <c r="R25" s="41"/>
      <c r="S25" s="41"/>
      <c r="T25" s="41"/>
    </row>
    <row r="26" spans="2:20" s="45" customFormat="1" ht="13.8" x14ac:dyDescent="0.3">
      <c r="B26" s="111" t="s">
        <v>168</v>
      </c>
      <c r="C26" s="111"/>
      <c r="D26" s="111"/>
      <c r="E26" s="111"/>
      <c r="F26" s="111"/>
      <c r="G26" s="111"/>
      <c r="H26" s="54"/>
      <c r="I26" s="54"/>
      <c r="J26" s="54"/>
      <c r="L26" s="39"/>
      <c r="M26" s="41"/>
      <c r="N26" s="41"/>
      <c r="O26" s="41"/>
      <c r="P26" s="41"/>
      <c r="Q26" s="41"/>
      <c r="R26" s="41"/>
      <c r="S26" s="41"/>
      <c r="T26" s="41"/>
    </row>
    <row r="27" spans="2:20" s="45" customFormat="1" ht="13.8" x14ac:dyDescent="0.3">
      <c r="B27" s="111"/>
      <c r="C27" s="111"/>
      <c r="D27" s="111"/>
      <c r="E27" s="111"/>
      <c r="F27" s="111"/>
      <c r="G27" s="111"/>
      <c r="H27" s="54"/>
      <c r="I27" s="54"/>
      <c r="J27" s="54"/>
      <c r="L27" s="39"/>
      <c r="M27" s="41"/>
      <c r="N27" s="41"/>
      <c r="O27" s="41"/>
      <c r="P27" s="41"/>
      <c r="Q27" s="41"/>
      <c r="R27" s="41"/>
      <c r="S27" s="41"/>
      <c r="T27" s="41"/>
    </row>
    <row r="28" spans="2:20" s="45" customFormat="1" ht="13.8" x14ac:dyDescent="0.3">
      <c r="B28" s="50" t="s">
        <v>67</v>
      </c>
      <c r="F28" s="55"/>
      <c r="H28" s="54"/>
      <c r="I28" s="54"/>
      <c r="J28" s="54"/>
      <c r="L28" s="39"/>
      <c r="M28" s="41"/>
      <c r="N28" s="41"/>
      <c r="O28" s="41"/>
      <c r="P28" s="41"/>
      <c r="Q28" s="41"/>
      <c r="R28" s="41"/>
      <c r="S28" s="41"/>
      <c r="T28" s="41"/>
    </row>
    <row r="29" spans="2:20" s="45" customFormat="1" ht="13.8" x14ac:dyDescent="0.3">
      <c r="B29" s="111" t="s">
        <v>66</v>
      </c>
      <c r="C29" s="111"/>
      <c r="D29" s="111"/>
      <c r="E29" s="111"/>
      <c r="F29" s="111"/>
      <c r="G29" s="111"/>
      <c r="H29" s="54"/>
      <c r="I29" s="54"/>
      <c r="J29" s="54"/>
      <c r="L29" s="39"/>
      <c r="M29" s="41"/>
      <c r="N29" s="41"/>
      <c r="O29" s="41"/>
      <c r="P29" s="41"/>
      <c r="Q29" s="41"/>
      <c r="R29" s="41"/>
      <c r="S29" s="41"/>
      <c r="T29" s="41"/>
    </row>
    <row r="30" spans="2:20" s="45" customFormat="1" ht="13.8" x14ac:dyDescent="0.3">
      <c r="B30" s="111"/>
      <c r="C30" s="111"/>
      <c r="D30" s="111"/>
      <c r="E30" s="111"/>
      <c r="F30" s="111"/>
      <c r="G30" s="111"/>
      <c r="H30" s="54"/>
      <c r="I30" s="54"/>
      <c r="J30" s="54"/>
      <c r="L30" s="39"/>
      <c r="M30" s="41"/>
      <c r="N30" s="41"/>
      <c r="O30" s="41"/>
      <c r="P30" s="41"/>
      <c r="Q30" s="41"/>
      <c r="R30" s="41"/>
      <c r="S30" s="41"/>
      <c r="T30" s="41"/>
    </row>
    <row r="31" spans="2:20" s="45" customFormat="1" ht="13.8" x14ac:dyDescent="0.3">
      <c r="B31" s="54"/>
      <c r="C31" s="54"/>
      <c r="D31" s="54"/>
      <c r="E31" s="54"/>
      <c r="F31" s="54"/>
      <c r="G31" s="54" t="s">
        <v>94</v>
      </c>
      <c r="H31" s="54"/>
      <c r="I31" s="54"/>
      <c r="J31" s="54"/>
      <c r="L31" s="39"/>
      <c r="M31" s="41"/>
      <c r="N31" s="41"/>
      <c r="O31" s="41"/>
      <c r="P31" s="41"/>
      <c r="Q31" s="41"/>
      <c r="R31" s="41"/>
      <c r="S31" s="41"/>
      <c r="T31" s="41"/>
    </row>
    <row r="32" spans="2:20" s="45" customFormat="1" ht="13.8" x14ac:dyDescent="0.3">
      <c r="B32" s="54"/>
      <c r="C32" s="54"/>
      <c r="D32" s="54"/>
      <c r="E32" s="54"/>
      <c r="F32" s="54"/>
      <c r="G32" s="54"/>
      <c r="H32" s="54"/>
      <c r="I32" s="54"/>
      <c r="J32" s="54"/>
      <c r="L32" s="39"/>
      <c r="M32" s="41"/>
      <c r="N32" s="41"/>
      <c r="O32" s="41"/>
      <c r="P32" s="41"/>
      <c r="Q32" s="41"/>
      <c r="R32" s="41"/>
      <c r="S32" s="41"/>
      <c r="T32" s="41"/>
    </row>
    <row r="33" spans="2:20" s="45" customFormat="1" ht="13.8" x14ac:dyDescent="0.3">
      <c r="B33" s="109" t="s">
        <v>96</v>
      </c>
      <c r="C33" s="109"/>
      <c r="D33" s="109"/>
      <c r="E33" s="109"/>
      <c r="F33" s="109"/>
      <c r="G33" s="109"/>
      <c r="H33" s="109"/>
      <c r="I33" s="109"/>
      <c r="J33" s="109"/>
      <c r="L33" s="39"/>
      <c r="M33" s="41"/>
      <c r="N33" s="41"/>
      <c r="O33" s="41"/>
      <c r="P33" s="41"/>
      <c r="Q33" s="41"/>
      <c r="R33" s="41"/>
      <c r="S33" s="41"/>
      <c r="T33" s="41"/>
    </row>
    <row r="34" spans="2:20" s="45" customFormat="1" ht="13.8" x14ac:dyDescent="0.3">
      <c r="B34" s="109"/>
      <c r="C34" s="109"/>
      <c r="D34" s="109"/>
      <c r="E34" s="109"/>
      <c r="F34" s="109"/>
      <c r="G34" s="109"/>
      <c r="H34" s="109"/>
      <c r="I34" s="109"/>
      <c r="J34" s="109"/>
      <c r="L34" s="39"/>
      <c r="M34" s="41"/>
      <c r="N34" s="41"/>
      <c r="O34" s="41"/>
      <c r="P34" s="41"/>
      <c r="Q34" s="41"/>
      <c r="R34" s="41"/>
      <c r="S34" s="41"/>
      <c r="T34" s="41"/>
    </row>
    <row r="35" spans="2:20" s="45" customFormat="1" ht="13.8" x14ac:dyDescent="0.3">
      <c r="B35" s="54"/>
      <c r="C35" s="54"/>
      <c r="D35" s="54"/>
      <c r="E35" s="54"/>
      <c r="F35" s="54"/>
      <c r="G35" s="54"/>
      <c r="H35" s="54"/>
      <c r="I35" s="54"/>
      <c r="J35" s="54"/>
      <c r="L35" s="39"/>
      <c r="M35" s="41"/>
      <c r="N35" s="41"/>
      <c r="O35" s="41"/>
      <c r="P35" s="41"/>
      <c r="Q35" s="41"/>
      <c r="R35" s="41"/>
      <c r="S35" s="41"/>
      <c r="T35" s="41"/>
    </row>
    <row r="36" spans="2:20" s="45" customFormat="1" ht="13.8" x14ac:dyDescent="0.3">
      <c r="B36" s="54"/>
      <c r="C36" s="54"/>
      <c r="D36" s="54"/>
      <c r="E36" s="54"/>
      <c r="F36" s="54"/>
      <c r="G36" s="54"/>
      <c r="H36" s="54"/>
      <c r="I36" s="54"/>
      <c r="J36" s="54"/>
      <c r="L36" s="39"/>
      <c r="M36" s="41"/>
      <c r="N36" s="41"/>
      <c r="O36" s="41"/>
      <c r="P36" s="41"/>
      <c r="Q36" s="41"/>
      <c r="R36" s="41"/>
      <c r="S36" s="41"/>
      <c r="T36" s="41"/>
    </row>
    <row r="37" spans="2:20" s="45" customFormat="1" ht="13.8" x14ac:dyDescent="0.3">
      <c r="B37" s="54"/>
      <c r="C37" s="54"/>
      <c r="D37" s="54"/>
      <c r="E37" s="54"/>
      <c r="F37" s="54"/>
      <c r="G37" s="54"/>
      <c r="H37" s="54"/>
      <c r="I37" s="54"/>
      <c r="J37" s="54"/>
      <c r="L37" s="39"/>
      <c r="M37" s="41"/>
      <c r="N37" s="41"/>
      <c r="O37" s="41"/>
      <c r="P37" s="41"/>
      <c r="Q37" s="41"/>
      <c r="R37" s="41"/>
      <c r="S37" s="41"/>
      <c r="T37" s="41"/>
    </row>
    <row r="38" spans="2:20" s="45" customFormat="1" ht="13.8" x14ac:dyDescent="0.3">
      <c r="B38" s="54"/>
      <c r="C38" s="54"/>
      <c r="D38" s="54"/>
      <c r="E38" s="54"/>
      <c r="F38" s="54"/>
      <c r="G38" s="54"/>
      <c r="H38" s="54"/>
      <c r="I38" s="54"/>
      <c r="J38" s="54"/>
      <c r="L38" s="39"/>
      <c r="M38" s="41"/>
      <c r="N38" s="41"/>
      <c r="O38" s="41"/>
      <c r="P38" s="41"/>
      <c r="Q38" s="41"/>
      <c r="R38" s="41"/>
      <c r="S38" s="41"/>
      <c r="T38" s="41"/>
    </row>
    <row r="39" spans="2:20" s="45" customFormat="1" ht="13.8" x14ac:dyDescent="0.3">
      <c r="B39" s="54"/>
      <c r="C39" s="54"/>
      <c r="D39" s="54"/>
      <c r="E39" s="54"/>
      <c r="F39" s="54"/>
      <c r="G39" s="54"/>
      <c r="H39" s="54"/>
      <c r="I39" s="54"/>
      <c r="J39" s="54"/>
      <c r="L39" s="39"/>
      <c r="M39" s="41"/>
      <c r="N39" s="41"/>
      <c r="O39" s="41"/>
      <c r="P39" s="41"/>
      <c r="Q39" s="41"/>
      <c r="R39" s="41"/>
      <c r="S39" s="41"/>
      <c r="T39" s="41"/>
    </row>
    <row r="40" spans="2:20" s="45" customFormat="1" ht="13.8" x14ac:dyDescent="0.3">
      <c r="B40" s="54"/>
      <c r="C40" s="54"/>
      <c r="D40" s="54"/>
      <c r="E40" s="54"/>
      <c r="F40" s="54"/>
      <c r="G40" s="54"/>
      <c r="H40" s="54"/>
      <c r="I40" s="54"/>
      <c r="J40" s="54"/>
      <c r="L40" s="39"/>
      <c r="M40" s="41"/>
      <c r="N40" s="41"/>
      <c r="O40" s="41"/>
      <c r="P40" s="41"/>
      <c r="Q40" s="41"/>
      <c r="R40" s="41"/>
      <c r="S40" s="41"/>
      <c r="T40" s="41"/>
    </row>
    <row r="41" spans="2:20" s="45" customFormat="1" ht="13.8" x14ac:dyDescent="0.3">
      <c r="B41" s="54"/>
      <c r="C41" s="54"/>
      <c r="D41" s="54"/>
      <c r="E41" s="54"/>
      <c r="F41" s="54"/>
      <c r="G41" s="54"/>
      <c r="H41" s="54"/>
      <c r="I41" s="54"/>
      <c r="J41" s="54"/>
      <c r="L41" s="39"/>
      <c r="M41" s="41"/>
      <c r="N41" s="41"/>
      <c r="O41" s="41"/>
      <c r="P41" s="41"/>
      <c r="Q41" s="41"/>
      <c r="R41" s="41"/>
      <c r="S41" s="41"/>
      <c r="T41" s="41"/>
    </row>
    <row r="42" spans="2:20" s="45" customFormat="1" ht="13.8" x14ac:dyDescent="0.3">
      <c r="B42" s="54"/>
      <c r="C42" s="54"/>
      <c r="D42" s="54"/>
      <c r="E42" s="54"/>
      <c r="F42" s="54"/>
      <c r="G42" s="54"/>
      <c r="H42" s="54"/>
      <c r="I42" s="54"/>
      <c r="J42" s="54"/>
      <c r="L42" s="39"/>
      <c r="M42" s="41"/>
      <c r="N42" s="41"/>
      <c r="O42" s="41"/>
      <c r="P42" s="41"/>
      <c r="Q42" s="41"/>
      <c r="R42" s="41"/>
      <c r="S42" s="41"/>
      <c r="T42" s="41"/>
    </row>
    <row r="43" spans="2:20" s="45" customFormat="1" ht="13.8" x14ac:dyDescent="0.3">
      <c r="B43" s="54"/>
      <c r="C43" s="54"/>
      <c r="D43" s="54"/>
      <c r="E43" s="54"/>
      <c r="F43" s="54"/>
      <c r="G43" s="54"/>
      <c r="H43" s="54"/>
      <c r="I43" s="54"/>
      <c r="J43" s="54"/>
      <c r="L43" s="39"/>
      <c r="M43" s="41"/>
      <c r="N43" s="41"/>
      <c r="O43" s="41"/>
      <c r="P43" s="41"/>
      <c r="Q43" s="41"/>
      <c r="R43" s="41"/>
      <c r="S43" s="41"/>
      <c r="T43" s="41"/>
    </row>
    <row r="44" spans="2:20" s="45" customFormat="1" ht="13.8" x14ac:dyDescent="0.3">
      <c r="B44" s="54"/>
      <c r="C44" s="54"/>
      <c r="D44" s="54"/>
      <c r="E44" s="54"/>
      <c r="F44" s="54"/>
      <c r="G44" s="54"/>
      <c r="H44" s="54"/>
      <c r="I44" s="54"/>
      <c r="J44" s="54"/>
      <c r="L44" s="39"/>
      <c r="M44" s="41"/>
      <c r="N44" s="41"/>
      <c r="O44" s="41"/>
      <c r="P44" s="41"/>
      <c r="Q44" s="41"/>
      <c r="R44" s="41"/>
      <c r="S44" s="41"/>
      <c r="T44" s="41"/>
    </row>
    <row r="45" spans="2:20" s="45" customFormat="1" ht="13.8" x14ac:dyDescent="0.3">
      <c r="B45" s="54"/>
      <c r="C45" s="54"/>
      <c r="D45" s="54"/>
      <c r="E45" s="54"/>
      <c r="F45" s="54"/>
      <c r="G45" s="54"/>
      <c r="H45" s="54"/>
      <c r="I45" s="54"/>
      <c r="J45" s="54"/>
      <c r="L45" s="39"/>
      <c r="M45" s="41"/>
      <c r="N45" s="41"/>
      <c r="O45" s="41"/>
      <c r="P45" s="41"/>
      <c r="Q45" s="41"/>
      <c r="R45" s="41"/>
      <c r="S45" s="41"/>
      <c r="T45" s="41"/>
    </row>
    <row r="46" spans="2:20" s="45" customFormat="1" ht="13.8" x14ac:dyDescent="0.3">
      <c r="D46" s="53"/>
      <c r="E46" s="50"/>
      <c r="M46" s="56"/>
      <c r="N46" s="56"/>
      <c r="O46" s="56"/>
      <c r="P46" s="56"/>
      <c r="Q46" s="57"/>
      <c r="R46" s="57"/>
      <c r="S46" s="57"/>
      <c r="T46" s="58"/>
    </row>
    <row r="47" spans="2:20" s="45" customFormat="1" ht="13.8" x14ac:dyDescent="0.3">
      <c r="B47" s="48"/>
      <c r="C47" s="39"/>
      <c r="L47" s="39"/>
      <c r="M47" s="41"/>
      <c r="N47" s="41"/>
      <c r="O47" s="41"/>
      <c r="P47" s="41"/>
      <c r="Q47" s="41"/>
      <c r="R47" s="41"/>
      <c r="S47" s="41"/>
      <c r="T47" s="41"/>
    </row>
    <row r="48" spans="2:20" s="45" customFormat="1" ht="13.8" x14ac:dyDescent="0.3">
      <c r="B48" s="48"/>
      <c r="C48" s="39"/>
      <c r="L48" s="39"/>
      <c r="M48" s="41"/>
      <c r="N48" s="41"/>
      <c r="O48" s="41"/>
      <c r="P48" s="41"/>
      <c r="Q48" s="41"/>
      <c r="R48" s="41"/>
      <c r="S48" s="41"/>
      <c r="T48" s="41"/>
    </row>
    <row r="49" spans="1:20" s="45" customFormat="1" ht="13.8" x14ac:dyDescent="0.3">
      <c r="B49" s="48"/>
      <c r="C49" s="39"/>
      <c r="L49" s="39"/>
      <c r="M49" s="41"/>
      <c r="N49" s="41"/>
      <c r="O49" s="41"/>
      <c r="P49" s="41"/>
      <c r="Q49" s="41"/>
      <c r="R49" s="41"/>
      <c r="S49" s="41"/>
      <c r="T49" s="41"/>
    </row>
    <row r="50" spans="1:20" s="45" customFormat="1" ht="13.8" x14ac:dyDescent="0.3">
      <c r="B50" s="48"/>
      <c r="C50" s="39"/>
      <c r="H50" s="48"/>
      <c r="I50" s="59"/>
      <c r="L50" s="39"/>
      <c r="M50" s="41"/>
      <c r="N50" s="41"/>
      <c r="O50" s="41"/>
      <c r="P50" s="41"/>
      <c r="Q50" s="41"/>
      <c r="R50" s="41"/>
      <c r="S50" s="41"/>
      <c r="T50" s="41"/>
    </row>
    <row r="51" spans="1:20" s="45" customFormat="1" ht="13.8" x14ac:dyDescent="0.3">
      <c r="B51" s="48"/>
      <c r="C51" s="39"/>
      <c r="H51" s="48"/>
      <c r="I51" s="59"/>
      <c r="L51" s="39"/>
      <c r="M51" s="41"/>
      <c r="N51" s="41"/>
      <c r="O51" s="41"/>
      <c r="P51" s="41"/>
      <c r="Q51" s="41"/>
      <c r="R51" s="41"/>
      <c r="S51" s="41"/>
      <c r="T51" s="41"/>
    </row>
    <row r="52" spans="1:20" s="45" customFormat="1" ht="13.8" x14ac:dyDescent="0.3">
      <c r="B52" s="48"/>
      <c r="C52" s="39"/>
      <c r="H52" s="48"/>
      <c r="I52" s="59"/>
      <c r="L52" s="39"/>
      <c r="M52" s="41"/>
      <c r="N52" s="41"/>
      <c r="O52" s="41"/>
      <c r="P52" s="41"/>
      <c r="Q52" s="41"/>
      <c r="R52" s="41"/>
      <c r="S52" s="41"/>
      <c r="T52" s="41"/>
    </row>
    <row r="53" spans="1:20" s="45" customFormat="1" ht="13.8" x14ac:dyDescent="0.3">
      <c r="B53" s="48"/>
      <c r="C53" s="39"/>
      <c r="H53" s="48"/>
      <c r="I53" s="59"/>
      <c r="L53" s="39"/>
      <c r="M53" s="41"/>
      <c r="N53" s="41"/>
      <c r="O53" s="41"/>
      <c r="P53" s="41"/>
      <c r="Q53" s="41"/>
      <c r="R53" s="41"/>
      <c r="S53" s="41"/>
      <c r="T53" s="41"/>
    </row>
    <row r="54" spans="1:20" s="45" customFormat="1" ht="13.8" x14ac:dyDescent="0.3">
      <c r="B54" s="48"/>
      <c r="C54" s="39"/>
      <c r="H54" s="48"/>
      <c r="I54" s="59"/>
      <c r="L54" s="39"/>
      <c r="M54" s="41"/>
      <c r="N54" s="41"/>
      <c r="O54" s="41"/>
      <c r="P54" s="41"/>
      <c r="Q54" s="41"/>
      <c r="R54" s="41"/>
      <c r="S54" s="41"/>
      <c r="T54" s="41"/>
    </row>
    <row r="55" spans="1:20" s="45" customFormat="1" ht="13.8" x14ac:dyDescent="0.3">
      <c r="B55" s="48"/>
      <c r="C55" s="39"/>
      <c r="H55" s="48"/>
      <c r="I55" s="59"/>
      <c r="L55" s="39"/>
      <c r="M55" s="41"/>
      <c r="N55" s="41"/>
      <c r="O55" s="41"/>
      <c r="P55" s="41"/>
      <c r="Q55" s="41"/>
      <c r="R55" s="41"/>
      <c r="S55" s="41"/>
      <c r="T55" s="41"/>
    </row>
    <row r="56" spans="1:20" s="45" customFormat="1" ht="13.8" x14ac:dyDescent="0.3">
      <c r="B56" s="48"/>
      <c r="C56" s="39"/>
      <c r="H56" s="48"/>
      <c r="I56" s="59"/>
      <c r="L56" s="39"/>
      <c r="M56" s="41"/>
      <c r="N56" s="41"/>
      <c r="O56" s="41"/>
      <c r="P56" s="41"/>
      <c r="Q56" s="41"/>
      <c r="R56" s="41"/>
      <c r="S56" s="41"/>
      <c r="T56" s="41"/>
    </row>
    <row r="57" spans="1:20" s="45" customFormat="1" ht="13.8" x14ac:dyDescent="0.3">
      <c r="B57" s="48"/>
      <c r="C57" s="39"/>
      <c r="H57" s="48"/>
      <c r="I57" s="59"/>
      <c r="L57" s="39"/>
      <c r="M57" s="41"/>
      <c r="N57" s="41"/>
      <c r="O57" s="41"/>
      <c r="P57" s="41"/>
      <c r="Q57" s="41"/>
      <c r="R57" s="41"/>
      <c r="S57" s="41"/>
      <c r="T57" s="41"/>
    </row>
    <row r="58" spans="1:20" s="45" customFormat="1" ht="13.8" x14ac:dyDescent="0.3">
      <c r="B58" s="48"/>
      <c r="C58" s="39"/>
      <c r="H58" s="48"/>
      <c r="I58" s="59"/>
      <c r="L58" s="39"/>
      <c r="M58" s="41"/>
      <c r="N58" s="41"/>
      <c r="O58" s="41"/>
      <c r="P58" s="41"/>
      <c r="Q58" s="41"/>
      <c r="R58" s="41"/>
      <c r="S58" s="41"/>
      <c r="T58" s="41"/>
    </row>
    <row r="59" spans="1:20" s="45" customFormat="1" ht="13.8" x14ac:dyDescent="0.3">
      <c r="L59" s="39"/>
      <c r="M59" s="41"/>
      <c r="N59" s="41"/>
      <c r="O59" s="41"/>
      <c r="P59" s="41"/>
      <c r="Q59" s="41"/>
      <c r="R59" s="41"/>
      <c r="S59" s="41"/>
      <c r="T59" s="41"/>
    </row>
    <row r="60" spans="1:20" s="45" customFormat="1" ht="13.8" x14ac:dyDescent="0.3">
      <c r="D60" s="53" t="str">
        <f>"Figure "&amp;$B$4&amp;"-"&amp;SUM($S$1:S60)&amp;":"</f>
        <v>Figure 3-1:</v>
      </c>
      <c r="E60" s="50" t="s">
        <v>97</v>
      </c>
      <c r="M60" s="56"/>
      <c r="N60" s="56"/>
      <c r="O60" s="56"/>
      <c r="P60" s="56"/>
      <c r="Q60" s="57"/>
      <c r="R60" s="57"/>
      <c r="S60" s="57">
        <v>1</v>
      </c>
      <c r="T60" s="58"/>
    </row>
    <row r="61" spans="1:20" s="45" customFormat="1" ht="13.8" x14ac:dyDescent="0.3">
      <c r="L61" s="39"/>
      <c r="M61" s="41"/>
      <c r="N61" s="41"/>
      <c r="O61" s="41"/>
      <c r="P61" s="41"/>
      <c r="Q61" s="41"/>
      <c r="R61" s="41"/>
      <c r="S61" s="41"/>
      <c r="T61" s="41"/>
    </row>
    <row r="62" spans="1:20" s="45" customFormat="1" ht="13.8" x14ac:dyDescent="0.3">
      <c r="B62" s="45" t="s">
        <v>169</v>
      </c>
      <c r="L62" s="39"/>
      <c r="M62" s="41"/>
      <c r="N62" s="41"/>
      <c r="O62" s="41"/>
      <c r="P62" s="41"/>
      <c r="Q62" s="41"/>
      <c r="R62" s="41"/>
      <c r="S62" s="41"/>
      <c r="T62" s="41"/>
    </row>
    <row r="63" spans="1:20" s="45" customFormat="1" ht="13.8" x14ac:dyDescent="0.3">
      <c r="L63" s="39"/>
      <c r="M63" s="41"/>
      <c r="N63" s="41"/>
      <c r="O63" s="41"/>
      <c r="P63" s="41"/>
      <c r="Q63" s="41"/>
      <c r="R63" s="41"/>
      <c r="S63" s="41"/>
      <c r="T63" s="41"/>
    </row>
    <row r="64" spans="1:20" s="45" customFormat="1" ht="13.8" x14ac:dyDescent="0.3">
      <c r="A64" s="24"/>
      <c r="B64" s="19"/>
      <c r="C64" s="19"/>
      <c r="D64" s="19"/>
      <c r="E64" s="48" t="s">
        <v>72</v>
      </c>
      <c r="F64" s="49" t="str">
        <f>$B$1</f>
        <v>R. Abbott</v>
      </c>
      <c r="H64" s="50"/>
      <c r="I64" s="48" t="s">
        <v>78</v>
      </c>
      <c r="J64" s="51" t="str">
        <f>$E$2</f>
        <v>AA-SM-221</v>
      </c>
      <c r="K64" s="52"/>
      <c r="L64" s="39"/>
      <c r="M64" s="41"/>
      <c r="N64" s="41"/>
      <c r="O64" s="41"/>
      <c r="P64" s="41"/>
      <c r="Q64" s="41"/>
      <c r="R64" s="41"/>
      <c r="S64" s="41"/>
      <c r="T64" s="41"/>
    </row>
    <row r="65" spans="1:20" s="45" customFormat="1" ht="13.8" x14ac:dyDescent="0.3">
      <c r="A65" s="19"/>
      <c r="B65" s="19"/>
      <c r="C65" s="19"/>
      <c r="D65" s="19"/>
      <c r="E65" s="48" t="s">
        <v>74</v>
      </c>
      <c r="F65" s="50" t="str">
        <f>$B$2</f>
        <v xml:space="preserve"> </v>
      </c>
      <c r="H65" s="50"/>
      <c r="I65" s="48" t="s">
        <v>79</v>
      </c>
      <c r="J65" s="52" t="str">
        <f>$E$3</f>
        <v>A</v>
      </c>
      <c r="K65" s="52"/>
      <c r="L65" s="39"/>
      <c r="M65" s="41">
        <v>1</v>
      </c>
      <c r="N65" s="41"/>
      <c r="O65" s="41"/>
      <c r="P65" s="41"/>
      <c r="Q65" s="41"/>
      <c r="R65" s="41"/>
      <c r="S65" s="41"/>
      <c r="T65" s="41"/>
    </row>
    <row r="66" spans="1:20" s="45" customFormat="1" ht="13.8" x14ac:dyDescent="0.3">
      <c r="A66" s="19"/>
      <c r="B66" s="19"/>
      <c r="C66" s="19"/>
      <c r="D66" s="19"/>
      <c r="E66" s="48" t="s">
        <v>7</v>
      </c>
      <c r="F66" s="50" t="str">
        <f>$B$3</f>
        <v>Aug 2010</v>
      </c>
      <c r="H66" s="50"/>
      <c r="I66" s="48" t="s">
        <v>80</v>
      </c>
      <c r="J66" s="49" t="str">
        <f>$B$5&amp;L66&amp;" of "&amp;$B$5&amp;$E$1</f>
        <v>4 of 9</v>
      </c>
      <c r="K66" s="50"/>
      <c r="L66" s="39">
        <f>SUM($M$1:M65)</f>
        <v>4</v>
      </c>
      <c r="M66" s="41"/>
      <c r="N66" s="41"/>
      <c r="O66" s="41"/>
      <c r="P66" s="41"/>
      <c r="Q66" s="41"/>
      <c r="R66" s="41"/>
      <c r="S66" s="41"/>
      <c r="T66" s="41"/>
    </row>
    <row r="67" spans="1:20" s="45" customFormat="1" ht="13.8" x14ac:dyDescent="0.3">
      <c r="L67" s="39"/>
      <c r="M67" s="41"/>
      <c r="N67" s="41"/>
      <c r="O67" s="41"/>
      <c r="P67" s="41"/>
      <c r="Q67" s="41"/>
      <c r="R67" s="41"/>
      <c r="S67" s="41"/>
      <c r="T67" s="41"/>
    </row>
    <row r="68" spans="1:20" s="45" customFormat="1" ht="13.8" x14ac:dyDescent="0.3">
      <c r="I68" s="53"/>
      <c r="J68" s="49"/>
      <c r="L68" s="39"/>
      <c r="M68" s="41"/>
      <c r="N68" s="41"/>
      <c r="O68" s="41"/>
      <c r="P68" s="41"/>
      <c r="Q68" s="41"/>
      <c r="R68" s="41"/>
      <c r="S68" s="41"/>
      <c r="T68" s="41"/>
    </row>
    <row r="69" spans="1:20" x14ac:dyDescent="0.3">
      <c r="B69" s="38" t="str">
        <f>($B$4)&amp;".0 "&amp;$E$4</f>
        <v>3.0 GENERAL</v>
      </c>
    </row>
    <row r="70" spans="1:20" x14ac:dyDescent="0.3">
      <c r="B70" s="38" t="s">
        <v>28</v>
      </c>
    </row>
    <row r="71" spans="1:20" s="45" customFormat="1" ht="13.8" x14ac:dyDescent="0.3">
      <c r="B71" s="54" t="str">
        <f>"The data in "&amp;D60&amp;" was digitized and converted to the following form:"</f>
        <v>The data in Figure 3-1: was digitized and converted to the following form:</v>
      </c>
      <c r="C71" s="54"/>
      <c r="D71" s="54"/>
      <c r="E71" s="54"/>
      <c r="F71" s="54"/>
      <c r="G71" s="54"/>
      <c r="H71" s="54"/>
      <c r="I71" s="54"/>
      <c r="J71" s="54"/>
      <c r="L71" s="39"/>
      <c r="M71" s="41"/>
      <c r="N71" s="41"/>
      <c r="O71" s="41"/>
      <c r="P71" s="41"/>
      <c r="Q71" s="41"/>
      <c r="R71" s="41"/>
      <c r="S71" s="41"/>
      <c r="T71" s="41"/>
    </row>
    <row r="72" spans="1:20" s="45" customFormat="1" ht="13.8" x14ac:dyDescent="0.3">
      <c r="B72" s="54"/>
      <c r="C72" s="54"/>
      <c r="D72" s="54"/>
      <c r="E72" s="54"/>
      <c r="F72" s="54"/>
      <c r="G72" s="54"/>
      <c r="H72" s="54"/>
      <c r="I72" s="54"/>
      <c r="J72" s="54"/>
      <c r="L72" s="39"/>
      <c r="M72" s="41"/>
      <c r="N72" s="41"/>
      <c r="O72" s="41"/>
      <c r="P72" s="41"/>
      <c r="Q72" s="41"/>
      <c r="R72" s="41"/>
      <c r="S72" s="41"/>
      <c r="T72" s="41"/>
    </row>
    <row r="73" spans="1:20" s="45" customFormat="1" ht="13.8" x14ac:dyDescent="0.3">
      <c r="B73" s="54"/>
      <c r="C73" s="54"/>
      <c r="D73" s="54"/>
      <c r="E73" s="54"/>
      <c r="F73" s="54"/>
      <c r="G73" s="54"/>
      <c r="H73" s="54"/>
      <c r="I73" s="54"/>
      <c r="J73" s="54"/>
      <c r="L73" s="39"/>
      <c r="M73" s="41"/>
      <c r="N73" s="41"/>
      <c r="O73" s="41"/>
      <c r="P73" s="41"/>
      <c r="Q73" s="41"/>
      <c r="R73" s="41"/>
      <c r="S73" s="41"/>
      <c r="T73" s="41"/>
    </row>
    <row r="74" spans="1:20" s="45" customFormat="1" ht="13.8" x14ac:dyDescent="0.3">
      <c r="B74" s="54"/>
      <c r="C74" s="54"/>
      <c r="D74" s="54"/>
      <c r="E74" s="54"/>
      <c r="F74" s="54"/>
      <c r="G74" s="54"/>
      <c r="H74" s="54"/>
      <c r="I74" s="54"/>
      <c r="J74" s="54"/>
      <c r="L74" s="39"/>
      <c r="M74" s="41"/>
      <c r="N74" s="41"/>
      <c r="O74" s="41"/>
      <c r="P74" s="41"/>
      <c r="Q74" s="41"/>
      <c r="R74" s="41"/>
      <c r="S74" s="41"/>
      <c r="T74" s="41"/>
    </row>
    <row r="75" spans="1:20" s="45" customFormat="1" ht="13.8" x14ac:dyDescent="0.3">
      <c r="B75" s="54"/>
      <c r="C75" s="54"/>
      <c r="D75" s="54"/>
      <c r="E75" s="54"/>
      <c r="F75" s="54"/>
      <c r="G75" s="54"/>
      <c r="H75" s="54"/>
      <c r="I75" s="54"/>
      <c r="J75" s="54"/>
      <c r="L75" s="39"/>
      <c r="M75" s="41"/>
      <c r="N75" s="41"/>
      <c r="O75" s="41"/>
      <c r="P75" s="41"/>
      <c r="Q75" s="41"/>
      <c r="R75" s="41"/>
      <c r="S75" s="41"/>
      <c r="T75" s="41"/>
    </row>
    <row r="76" spans="1:20" s="45" customFormat="1" ht="13.8" x14ac:dyDescent="0.3">
      <c r="B76" s="54"/>
      <c r="C76" s="54"/>
      <c r="D76" s="54"/>
      <c r="E76" s="54"/>
      <c r="F76" s="54"/>
      <c r="G76" s="54"/>
      <c r="H76" s="54"/>
      <c r="I76" s="54"/>
      <c r="J76" s="54"/>
      <c r="L76" s="39"/>
      <c r="M76" s="41"/>
      <c r="N76" s="41"/>
      <c r="O76" s="41"/>
      <c r="P76" s="41"/>
      <c r="Q76" s="41"/>
      <c r="R76" s="41"/>
      <c r="S76" s="41"/>
      <c r="T76" s="41"/>
    </row>
    <row r="77" spans="1:20" s="45" customFormat="1" ht="13.8" x14ac:dyDescent="0.3">
      <c r="B77" s="54"/>
      <c r="C77" s="54"/>
      <c r="D77" s="54"/>
      <c r="E77" s="54"/>
      <c r="F77" s="54"/>
      <c r="G77" s="54"/>
      <c r="H77" s="54"/>
      <c r="I77" s="54"/>
      <c r="J77" s="54"/>
      <c r="L77" s="39"/>
      <c r="M77" s="41"/>
      <c r="N77" s="41"/>
      <c r="O77" s="41"/>
      <c r="P77" s="41"/>
      <c r="Q77" s="41"/>
      <c r="R77" s="41"/>
      <c r="S77" s="41"/>
      <c r="T77" s="41"/>
    </row>
    <row r="78" spans="1:20" s="45" customFormat="1" ht="13.8" x14ac:dyDescent="0.3">
      <c r="B78" s="54"/>
      <c r="C78" s="54"/>
      <c r="D78" s="54"/>
      <c r="E78" s="54"/>
      <c r="F78" s="54"/>
      <c r="G78" s="54"/>
      <c r="H78" s="54"/>
      <c r="I78" s="54"/>
      <c r="J78" s="54"/>
      <c r="L78" s="39"/>
      <c r="M78" s="41"/>
      <c r="N78" s="41"/>
      <c r="O78" s="41"/>
      <c r="P78" s="41"/>
      <c r="Q78" s="41"/>
      <c r="R78" s="41"/>
      <c r="S78" s="41"/>
      <c r="T78" s="41"/>
    </row>
    <row r="79" spans="1:20" s="45" customFormat="1" ht="13.8" x14ac:dyDescent="0.3">
      <c r="B79" s="54"/>
      <c r="C79" s="54"/>
      <c r="D79" s="54"/>
      <c r="E79" s="54"/>
      <c r="F79" s="54"/>
      <c r="G79" s="54"/>
      <c r="H79" s="54"/>
      <c r="I79" s="54"/>
      <c r="J79" s="54"/>
      <c r="L79" s="39"/>
      <c r="M79" s="41"/>
      <c r="N79" s="41"/>
      <c r="O79" s="41"/>
      <c r="P79" s="41"/>
      <c r="Q79" s="41"/>
      <c r="R79" s="41"/>
      <c r="S79" s="41"/>
      <c r="T79" s="41"/>
    </row>
    <row r="80" spans="1:20" s="45" customFormat="1" ht="13.8" x14ac:dyDescent="0.3">
      <c r="B80" s="54"/>
      <c r="C80" s="54"/>
      <c r="D80" s="54"/>
      <c r="E80" s="54"/>
      <c r="F80" s="54"/>
      <c r="G80" s="54"/>
      <c r="H80" s="54"/>
      <c r="I80" s="54"/>
      <c r="J80" s="54"/>
      <c r="L80" s="39"/>
      <c r="M80" s="41"/>
      <c r="N80" s="41"/>
      <c r="O80" s="41"/>
      <c r="P80" s="41"/>
      <c r="Q80" s="41"/>
      <c r="R80" s="41"/>
      <c r="S80" s="41"/>
      <c r="T80" s="41"/>
    </row>
    <row r="81" spans="2:20" s="45" customFormat="1" ht="13.8" x14ac:dyDescent="0.3">
      <c r="B81" s="54"/>
      <c r="C81" s="54"/>
      <c r="D81" s="54"/>
      <c r="E81" s="54"/>
      <c r="F81" s="54"/>
      <c r="G81" s="54"/>
      <c r="H81" s="54"/>
      <c r="I81" s="54"/>
      <c r="J81" s="54"/>
      <c r="L81" s="39"/>
      <c r="M81" s="41"/>
      <c r="N81" s="41"/>
      <c r="O81" s="41"/>
      <c r="P81" s="41"/>
      <c r="Q81" s="41"/>
      <c r="R81" s="41"/>
      <c r="S81" s="41"/>
      <c r="T81" s="41"/>
    </row>
    <row r="82" spans="2:20" s="45" customFormat="1" ht="13.8" x14ac:dyDescent="0.3">
      <c r="B82" s="54"/>
      <c r="C82" s="54"/>
      <c r="D82" s="54"/>
      <c r="E82" s="54"/>
      <c r="F82" s="54"/>
      <c r="G82" s="54"/>
      <c r="H82" s="54"/>
      <c r="I82" s="54"/>
      <c r="J82" s="54"/>
      <c r="L82" s="39"/>
      <c r="M82" s="41"/>
      <c r="N82" s="41"/>
      <c r="O82" s="41"/>
      <c r="P82" s="41"/>
      <c r="Q82" s="41"/>
      <c r="R82" s="41"/>
      <c r="S82" s="41"/>
      <c r="T82" s="41"/>
    </row>
    <row r="83" spans="2:20" s="45" customFormat="1" ht="13.8" x14ac:dyDescent="0.3">
      <c r="B83" s="54"/>
      <c r="C83" s="54"/>
      <c r="D83" s="54"/>
      <c r="E83" s="54"/>
      <c r="F83" s="54"/>
      <c r="G83" s="54"/>
      <c r="H83" s="54"/>
      <c r="I83" s="54"/>
      <c r="J83" s="54"/>
      <c r="L83" s="39"/>
      <c r="M83" s="41"/>
      <c r="N83" s="41"/>
      <c r="O83" s="41"/>
      <c r="P83" s="41"/>
      <c r="Q83" s="41"/>
      <c r="R83" s="41"/>
      <c r="S83" s="41"/>
      <c r="T83" s="41"/>
    </row>
    <row r="84" spans="2:20" s="45" customFormat="1" ht="13.8" x14ac:dyDescent="0.3">
      <c r="B84" s="54"/>
      <c r="C84" s="54"/>
      <c r="D84" s="54"/>
      <c r="E84" s="54"/>
      <c r="F84" s="54"/>
      <c r="G84" s="54"/>
      <c r="H84" s="54"/>
      <c r="I84" s="54"/>
      <c r="J84" s="54"/>
      <c r="L84" s="39"/>
      <c r="M84" s="41"/>
      <c r="N84" s="41"/>
      <c r="O84" s="41"/>
      <c r="P84" s="41"/>
      <c r="Q84" s="41"/>
      <c r="R84" s="41"/>
      <c r="S84" s="41"/>
      <c r="T84" s="41"/>
    </row>
    <row r="85" spans="2:20" s="45" customFormat="1" ht="13.8" x14ac:dyDescent="0.3">
      <c r="B85" s="54"/>
      <c r="C85" s="54"/>
      <c r="D85" s="54"/>
      <c r="E85" s="54"/>
      <c r="F85" s="54"/>
      <c r="G85" s="54"/>
      <c r="H85" s="54"/>
      <c r="I85" s="54"/>
      <c r="J85" s="54"/>
      <c r="L85" s="39"/>
      <c r="M85" s="41"/>
      <c r="N85" s="41"/>
      <c r="O85" s="41"/>
      <c r="P85" s="41"/>
      <c r="Q85" s="41"/>
      <c r="R85" s="41"/>
      <c r="S85" s="41"/>
      <c r="T85" s="41"/>
    </row>
    <row r="86" spans="2:20" s="45" customFormat="1" ht="13.8" x14ac:dyDescent="0.3">
      <c r="B86" s="54"/>
      <c r="C86" s="54"/>
      <c r="D86" s="54"/>
      <c r="E86" s="54"/>
      <c r="F86" s="54"/>
      <c r="G86" s="54"/>
      <c r="H86" s="54"/>
      <c r="I86" s="54"/>
      <c r="J86" s="54"/>
      <c r="L86" s="39"/>
      <c r="M86" s="41"/>
      <c r="N86" s="41"/>
      <c r="O86" s="41"/>
      <c r="P86" s="41"/>
      <c r="Q86" s="41"/>
      <c r="R86" s="41"/>
      <c r="S86" s="41"/>
      <c r="T86" s="41"/>
    </row>
    <row r="87" spans="2:20" s="45" customFormat="1" ht="13.8" x14ac:dyDescent="0.3">
      <c r="B87" s="54"/>
      <c r="C87" s="54"/>
      <c r="D87" s="54"/>
      <c r="E87" s="54"/>
      <c r="F87" s="54"/>
      <c r="G87" s="54"/>
      <c r="H87" s="54"/>
      <c r="I87" s="54"/>
      <c r="J87" s="54"/>
      <c r="L87" s="39"/>
      <c r="M87" s="41"/>
      <c r="N87" s="41"/>
      <c r="O87" s="41"/>
      <c r="P87" s="41"/>
      <c r="Q87" s="41"/>
      <c r="R87" s="41"/>
      <c r="S87" s="41"/>
      <c r="T87" s="41"/>
    </row>
    <row r="88" spans="2:20" s="45" customFormat="1" ht="13.8" x14ac:dyDescent="0.3">
      <c r="B88" s="54"/>
      <c r="C88" s="54"/>
      <c r="D88" s="54"/>
      <c r="E88" s="54"/>
      <c r="F88" s="54"/>
      <c r="G88" s="54"/>
      <c r="H88" s="54"/>
      <c r="I88" s="54"/>
      <c r="J88" s="54"/>
      <c r="L88" s="39"/>
      <c r="M88" s="41"/>
      <c r="N88" s="41"/>
      <c r="O88" s="41"/>
      <c r="P88" s="41"/>
      <c r="Q88" s="41"/>
      <c r="R88" s="41"/>
      <c r="S88" s="41"/>
      <c r="T88" s="41"/>
    </row>
    <row r="89" spans="2:20" s="45" customFormat="1" ht="13.8" x14ac:dyDescent="0.3">
      <c r="B89" s="54"/>
      <c r="C89" s="54"/>
      <c r="D89" s="54"/>
      <c r="E89" s="54"/>
      <c r="F89" s="54"/>
      <c r="G89" s="54"/>
      <c r="H89" s="54"/>
      <c r="I89" s="54"/>
      <c r="J89" s="54"/>
      <c r="L89" s="39"/>
      <c r="M89" s="41"/>
      <c r="N89" s="41"/>
      <c r="O89" s="41"/>
      <c r="P89" s="41"/>
      <c r="Q89" s="41"/>
      <c r="R89" s="41"/>
      <c r="S89" s="41"/>
      <c r="T89" s="41"/>
    </row>
    <row r="90" spans="2:20" s="45" customFormat="1" ht="13.8" x14ac:dyDescent="0.3">
      <c r="B90" s="54"/>
      <c r="C90" s="54"/>
      <c r="D90" s="54"/>
      <c r="E90" s="54"/>
      <c r="F90" s="54"/>
      <c r="G90" s="54"/>
      <c r="H90" s="54"/>
      <c r="I90" s="54"/>
      <c r="J90" s="54"/>
      <c r="L90" s="39"/>
      <c r="M90" s="41"/>
      <c r="N90" s="41"/>
      <c r="O90" s="41"/>
      <c r="P90" s="41"/>
      <c r="Q90" s="41"/>
      <c r="R90" s="41"/>
      <c r="S90" s="41"/>
      <c r="T90" s="41"/>
    </row>
    <row r="91" spans="2:20" s="45" customFormat="1" ht="13.8" x14ac:dyDescent="0.3">
      <c r="B91" s="54"/>
      <c r="C91" s="54"/>
      <c r="D91" s="54"/>
      <c r="E91" s="54"/>
      <c r="F91" s="54"/>
      <c r="G91" s="54"/>
      <c r="H91" s="54"/>
      <c r="I91" s="54"/>
      <c r="J91" s="54"/>
      <c r="L91" s="39"/>
      <c r="M91" s="41"/>
      <c r="N91" s="41"/>
      <c r="O91" s="41"/>
      <c r="P91" s="41"/>
      <c r="Q91" s="41"/>
      <c r="R91" s="41"/>
      <c r="S91" s="41"/>
      <c r="T91" s="41"/>
    </row>
    <row r="92" spans="2:20" s="45" customFormat="1" ht="13.8" x14ac:dyDescent="0.3">
      <c r="B92" s="54"/>
      <c r="C92" s="54"/>
      <c r="D92" s="54"/>
      <c r="E92" s="54"/>
      <c r="F92" s="54"/>
      <c r="G92" s="54"/>
      <c r="H92" s="54"/>
      <c r="I92" s="54"/>
      <c r="J92" s="54"/>
      <c r="L92" s="39"/>
      <c r="M92" s="41"/>
      <c r="N92" s="41"/>
      <c r="O92" s="41"/>
      <c r="P92" s="41"/>
      <c r="Q92" s="41"/>
      <c r="R92" s="41"/>
      <c r="S92" s="41"/>
      <c r="T92" s="41"/>
    </row>
    <row r="93" spans="2:20" s="45" customFormat="1" ht="13.8" x14ac:dyDescent="0.3">
      <c r="B93" s="54"/>
      <c r="C93" s="54"/>
      <c r="D93" s="54"/>
      <c r="E93" s="54"/>
      <c r="F93" s="54"/>
      <c r="G93" s="54"/>
      <c r="H93" s="54"/>
      <c r="I93" s="54"/>
      <c r="J93" s="54"/>
      <c r="L93" s="39"/>
      <c r="M93" s="41"/>
      <c r="N93" s="41"/>
      <c r="O93" s="41"/>
      <c r="P93" s="41"/>
      <c r="Q93" s="41"/>
      <c r="R93" s="41"/>
      <c r="S93" s="41"/>
      <c r="T93" s="41"/>
    </row>
    <row r="94" spans="2:20" s="45" customFormat="1" ht="13.8" x14ac:dyDescent="0.3">
      <c r="B94" s="54"/>
      <c r="C94" s="54"/>
      <c r="D94" s="54"/>
      <c r="E94" s="54"/>
      <c r="F94" s="54"/>
      <c r="G94" s="54"/>
      <c r="H94" s="54"/>
      <c r="I94" s="54"/>
      <c r="J94" s="54"/>
      <c r="L94" s="39"/>
      <c r="M94" s="41"/>
      <c r="N94" s="41"/>
      <c r="O94" s="41"/>
      <c r="P94" s="41"/>
      <c r="Q94" s="41"/>
      <c r="R94" s="41"/>
      <c r="S94" s="41"/>
      <c r="T94" s="41"/>
    </row>
    <row r="95" spans="2:20" s="45" customFormat="1" ht="13.8" x14ac:dyDescent="0.3">
      <c r="B95" s="54"/>
      <c r="C95" s="54"/>
      <c r="D95" s="54"/>
      <c r="E95" s="54"/>
      <c r="F95" s="54"/>
      <c r="G95" s="54"/>
      <c r="H95" s="54"/>
      <c r="I95" s="54"/>
      <c r="J95" s="54"/>
      <c r="L95" s="39"/>
      <c r="M95" s="41"/>
      <c r="N95" s="41"/>
      <c r="O95" s="41"/>
      <c r="P95" s="41"/>
      <c r="Q95" s="41"/>
      <c r="R95" s="41"/>
      <c r="S95" s="41"/>
      <c r="T95" s="41"/>
    </row>
    <row r="96" spans="2:20" s="45" customFormat="1" ht="13.8" x14ac:dyDescent="0.3">
      <c r="B96" s="54"/>
      <c r="C96" s="54"/>
      <c r="D96" s="54"/>
      <c r="E96" s="54"/>
      <c r="F96" s="54"/>
      <c r="G96" s="54"/>
      <c r="H96" s="54"/>
      <c r="I96" s="54"/>
      <c r="J96" s="54"/>
      <c r="L96" s="39"/>
      <c r="M96" s="41"/>
      <c r="N96" s="41"/>
      <c r="O96" s="41"/>
      <c r="P96" s="41"/>
      <c r="Q96" s="41"/>
      <c r="R96" s="41"/>
      <c r="S96" s="41"/>
      <c r="T96" s="41"/>
    </row>
    <row r="97" spans="2:20" s="45" customFormat="1" ht="13.8" x14ac:dyDescent="0.3">
      <c r="B97" s="54"/>
      <c r="C97" s="54"/>
      <c r="D97" s="54"/>
      <c r="E97" s="54"/>
      <c r="F97" s="54"/>
      <c r="G97" s="54"/>
      <c r="H97" s="54"/>
      <c r="I97" s="54"/>
      <c r="J97" s="54"/>
      <c r="L97" s="39"/>
      <c r="M97" s="41"/>
      <c r="N97" s="41"/>
      <c r="O97" s="41"/>
      <c r="P97" s="41"/>
      <c r="Q97" s="41"/>
      <c r="R97" s="41"/>
      <c r="S97" s="41"/>
      <c r="T97" s="41"/>
    </row>
    <row r="98" spans="2:20" s="45" customFormat="1" ht="13.8" x14ac:dyDescent="0.3">
      <c r="B98" s="54"/>
      <c r="C98" s="54"/>
      <c r="D98" s="54"/>
      <c r="E98" s="54"/>
      <c r="F98" s="54"/>
      <c r="G98" s="54"/>
      <c r="H98" s="54"/>
      <c r="I98" s="54"/>
      <c r="J98" s="54"/>
      <c r="L98" s="39"/>
      <c r="M98" s="41"/>
      <c r="N98" s="41"/>
      <c r="O98" s="41"/>
      <c r="P98" s="41"/>
      <c r="Q98" s="41"/>
      <c r="R98" s="41"/>
      <c r="S98" s="41"/>
      <c r="T98" s="41"/>
    </row>
    <row r="99" spans="2:20" s="45" customFormat="1" ht="13.8" x14ac:dyDescent="0.3">
      <c r="B99" s="54"/>
      <c r="C99" s="54"/>
      <c r="D99" s="54"/>
      <c r="E99" s="54"/>
      <c r="F99" s="54"/>
      <c r="G99" s="54"/>
      <c r="H99" s="54"/>
      <c r="I99" s="54"/>
      <c r="J99" s="54"/>
      <c r="L99" s="39"/>
      <c r="M99" s="41"/>
      <c r="N99" s="41"/>
      <c r="O99" s="41"/>
      <c r="P99" s="41"/>
      <c r="Q99" s="41"/>
      <c r="R99" s="41"/>
      <c r="S99" s="41"/>
      <c r="T99" s="41"/>
    </row>
    <row r="100" spans="2:20" s="45" customFormat="1" ht="13.8" x14ac:dyDescent="0.3">
      <c r="B100" s="54"/>
      <c r="C100" s="54"/>
      <c r="D100" s="54"/>
      <c r="E100" s="54"/>
      <c r="F100" s="54"/>
      <c r="G100" s="54"/>
      <c r="H100" s="54"/>
      <c r="I100" s="54"/>
      <c r="J100" s="54"/>
      <c r="L100" s="39"/>
      <c r="M100" s="41"/>
      <c r="N100" s="41"/>
      <c r="O100" s="41"/>
      <c r="P100" s="41"/>
      <c r="Q100" s="41"/>
      <c r="R100" s="41"/>
      <c r="S100" s="41"/>
      <c r="T100" s="41"/>
    </row>
    <row r="101" spans="2:20" s="45" customFormat="1" ht="13.8" x14ac:dyDescent="0.3">
      <c r="C101" s="53" t="str">
        <f>"Figure "&amp;$B$4&amp;"-"&amp;SUM($S$1:S101)&amp;":"</f>
        <v>Figure 3-2:</v>
      </c>
      <c r="D101" s="110" t="s">
        <v>98</v>
      </c>
      <c r="E101" s="110"/>
      <c r="F101" s="110"/>
      <c r="G101" s="110"/>
      <c r="H101" s="110"/>
      <c r="I101" s="110"/>
      <c r="J101" s="110"/>
      <c r="M101" s="56"/>
      <c r="N101" s="56"/>
      <c r="O101" s="56"/>
      <c r="P101" s="56"/>
      <c r="Q101" s="57"/>
      <c r="R101" s="57"/>
      <c r="S101" s="57">
        <v>1</v>
      </c>
      <c r="T101" s="58"/>
    </row>
    <row r="102" spans="2:20" s="45" customFormat="1" ht="13.8" x14ac:dyDescent="0.3">
      <c r="B102" s="54"/>
      <c r="C102" s="54"/>
      <c r="D102" s="110"/>
      <c r="E102" s="110"/>
      <c r="F102" s="110"/>
      <c r="G102" s="110"/>
      <c r="H102" s="110"/>
      <c r="I102" s="110"/>
      <c r="J102" s="110"/>
      <c r="L102" s="39"/>
      <c r="M102" s="41"/>
      <c r="N102" s="41"/>
      <c r="O102" s="41"/>
      <c r="P102" s="41"/>
      <c r="Q102" s="41"/>
      <c r="R102" s="41"/>
      <c r="S102" s="41"/>
      <c r="T102" s="41"/>
    </row>
    <row r="103" spans="2:20" s="45" customFormat="1" ht="13.8" x14ac:dyDescent="0.3">
      <c r="B103" s="54"/>
      <c r="C103" s="54"/>
      <c r="D103" s="54"/>
      <c r="E103" s="54"/>
      <c r="F103" s="54"/>
      <c r="G103" s="54"/>
      <c r="H103" s="54"/>
      <c r="I103" s="54"/>
      <c r="J103" s="54"/>
      <c r="L103" s="39"/>
      <c r="M103" s="41"/>
      <c r="N103" s="41"/>
      <c r="O103" s="41"/>
      <c r="P103" s="41"/>
      <c r="Q103" s="41"/>
      <c r="R103" s="41"/>
      <c r="S103" s="41"/>
      <c r="T103" s="41"/>
    </row>
    <row r="104" spans="2:20" s="45" customFormat="1" ht="13.8" x14ac:dyDescent="0.3">
      <c r="B104" s="111" t="str">
        <f>C101&amp;" conforms that for neatgive angles of attack in ground effect the coefficient of lift becomes sharply negative and it is therefore imperative that negative angles of attack for the wing in ground effect must be avoided in all possible angles of attack."</f>
        <v>Figure 3-2: conforms that for neatgive angles of attack in ground effect the coefficient of lift becomes sharply negative and it is therefore imperative that negative angles of attack for the wing in ground effect must be avoided in all possible angles of attack.</v>
      </c>
      <c r="C104" s="111"/>
      <c r="D104" s="111"/>
      <c r="E104" s="111"/>
      <c r="F104" s="111"/>
      <c r="G104" s="111"/>
      <c r="H104" s="111"/>
      <c r="I104" s="111"/>
      <c r="J104" s="111"/>
      <c r="L104" s="39"/>
      <c r="M104" s="41"/>
      <c r="N104" s="41"/>
      <c r="O104" s="41"/>
      <c r="P104" s="41"/>
      <c r="Q104" s="41"/>
      <c r="R104" s="41"/>
      <c r="S104" s="41"/>
      <c r="T104" s="41"/>
    </row>
    <row r="105" spans="2:20" s="45" customFormat="1" ht="13.8" x14ac:dyDescent="0.3">
      <c r="B105" s="111"/>
      <c r="C105" s="111"/>
      <c r="D105" s="111"/>
      <c r="E105" s="111"/>
      <c r="F105" s="111"/>
      <c r="G105" s="111"/>
      <c r="H105" s="111"/>
      <c r="I105" s="111"/>
      <c r="J105" s="111"/>
      <c r="L105" s="39"/>
      <c r="M105" s="41"/>
      <c r="N105" s="41"/>
      <c r="O105" s="41"/>
      <c r="P105" s="41"/>
      <c r="Q105" s="41"/>
      <c r="R105" s="41"/>
      <c r="S105" s="41"/>
      <c r="T105" s="41"/>
    </row>
    <row r="106" spans="2:20" s="45" customFormat="1" ht="13.8" x14ac:dyDescent="0.3">
      <c r="B106" s="111"/>
      <c r="C106" s="111"/>
      <c r="D106" s="111"/>
      <c r="E106" s="111"/>
      <c r="F106" s="111"/>
      <c r="G106" s="111"/>
      <c r="H106" s="111"/>
      <c r="I106" s="111"/>
      <c r="J106" s="111"/>
      <c r="L106" s="39"/>
      <c r="M106" s="41"/>
      <c r="N106" s="41"/>
      <c r="O106" s="41"/>
      <c r="P106" s="41"/>
      <c r="Q106" s="41"/>
      <c r="R106" s="41"/>
      <c r="S106" s="41"/>
      <c r="T106" s="41"/>
    </row>
    <row r="107" spans="2:20" s="45" customFormat="1" ht="13.8" x14ac:dyDescent="0.3">
      <c r="B107" s="54"/>
      <c r="C107" s="54"/>
      <c r="D107" s="54"/>
      <c r="E107" s="54"/>
      <c r="F107" s="54"/>
      <c r="G107" s="54"/>
      <c r="H107" s="54"/>
      <c r="I107" s="54"/>
      <c r="J107" s="54"/>
      <c r="L107" s="39"/>
      <c r="M107" s="41"/>
      <c r="N107" s="41"/>
      <c r="O107" s="41"/>
      <c r="P107" s="41"/>
      <c r="Q107" s="41"/>
      <c r="R107" s="41"/>
      <c r="S107" s="41"/>
      <c r="T107" s="41"/>
    </row>
    <row r="108" spans="2:20" s="45" customFormat="1" ht="13.8" x14ac:dyDescent="0.3">
      <c r="B108" s="54" t="s">
        <v>99</v>
      </c>
      <c r="C108" s="54"/>
      <c r="D108" s="54"/>
      <c r="E108" s="54"/>
      <c r="F108" s="54"/>
      <c r="G108" s="54"/>
      <c r="H108" s="54"/>
      <c r="I108" s="54"/>
      <c r="J108" s="54"/>
      <c r="L108" s="39"/>
      <c r="M108" s="41"/>
      <c r="N108" s="41"/>
      <c r="O108" s="41"/>
      <c r="P108" s="41"/>
      <c r="Q108" s="41"/>
      <c r="R108" s="41"/>
      <c r="S108" s="41"/>
      <c r="T108" s="41"/>
    </row>
    <row r="109" spans="2:20" s="45" customFormat="1" ht="13.8" x14ac:dyDescent="0.3">
      <c r="B109" s="109" t="s">
        <v>182</v>
      </c>
      <c r="C109" s="109"/>
      <c r="D109" s="109"/>
      <c r="E109" s="109"/>
      <c r="F109" s="109"/>
      <c r="G109" s="109"/>
      <c r="H109" s="109"/>
      <c r="I109" s="109"/>
      <c r="J109" s="109"/>
      <c r="L109" s="39"/>
      <c r="M109" s="41"/>
      <c r="N109" s="41"/>
      <c r="O109" s="41"/>
      <c r="P109" s="41"/>
      <c r="Q109" s="41"/>
      <c r="R109" s="41"/>
      <c r="S109" s="41"/>
      <c r="T109" s="41"/>
    </row>
    <row r="110" spans="2:20" s="45" customFormat="1" ht="13.8" x14ac:dyDescent="0.3">
      <c r="B110" s="109"/>
      <c r="C110" s="109"/>
      <c r="D110" s="109"/>
      <c r="E110" s="109"/>
      <c r="F110" s="109"/>
      <c r="G110" s="109"/>
      <c r="H110" s="109"/>
      <c r="I110" s="109"/>
      <c r="J110" s="109"/>
      <c r="L110" s="39"/>
      <c r="M110" s="41"/>
      <c r="N110" s="41"/>
      <c r="O110" s="41"/>
      <c r="P110" s="41"/>
      <c r="Q110" s="41"/>
      <c r="R110" s="41"/>
      <c r="S110" s="41"/>
      <c r="T110" s="41"/>
    </row>
    <row r="111" spans="2:20" s="45" customFormat="1" ht="13.8" x14ac:dyDescent="0.3">
      <c r="B111" s="54"/>
      <c r="C111" s="54"/>
      <c r="D111" s="54"/>
      <c r="E111" s="54"/>
      <c r="F111" s="54"/>
      <c r="G111" s="54"/>
      <c r="H111" s="54"/>
      <c r="I111" s="54"/>
      <c r="J111" s="54"/>
      <c r="L111" s="39"/>
      <c r="M111" s="41"/>
      <c r="N111" s="41"/>
      <c r="O111" s="41"/>
      <c r="P111" s="41"/>
      <c r="Q111" s="41"/>
      <c r="R111" s="41"/>
      <c r="S111" s="41"/>
      <c r="T111" s="41"/>
    </row>
    <row r="112" spans="2:20" s="45" customFormat="1" ht="13.8" x14ac:dyDescent="0.3">
      <c r="B112" s="54"/>
      <c r="C112" s="54"/>
      <c r="D112" s="60"/>
      <c r="E112" s="54"/>
      <c r="F112" s="54"/>
      <c r="G112" s="54"/>
      <c r="H112" s="54"/>
      <c r="I112" s="54"/>
      <c r="J112" s="54"/>
      <c r="L112" s="39"/>
      <c r="M112" s="41"/>
      <c r="N112" s="41"/>
      <c r="O112" s="41"/>
      <c r="P112" s="41"/>
      <c r="Q112" s="41"/>
      <c r="R112" s="41"/>
      <c r="S112" s="41"/>
      <c r="T112" s="41"/>
    </row>
    <row r="113" spans="1:20" s="45" customFormat="1" ht="13.8" x14ac:dyDescent="0.3">
      <c r="B113" s="54"/>
      <c r="C113" s="54"/>
      <c r="D113" s="54"/>
      <c r="E113" s="54"/>
      <c r="F113" s="54"/>
      <c r="G113" s="54"/>
      <c r="H113" s="54"/>
      <c r="I113" s="54"/>
      <c r="J113" s="54"/>
      <c r="L113" s="39"/>
      <c r="M113" s="41"/>
      <c r="N113" s="41"/>
      <c r="O113" s="41"/>
      <c r="P113" s="41"/>
      <c r="Q113" s="41"/>
      <c r="R113" s="41"/>
      <c r="S113" s="41"/>
      <c r="T113" s="41"/>
    </row>
    <row r="114" spans="1:20" s="45" customFormat="1" ht="13.8" x14ac:dyDescent="0.3">
      <c r="B114" s="48"/>
      <c r="C114" s="39"/>
      <c r="L114" s="39"/>
      <c r="M114" s="41"/>
      <c r="N114" s="41"/>
      <c r="O114" s="41"/>
      <c r="P114" s="41"/>
      <c r="Q114" s="41"/>
      <c r="R114" s="41"/>
      <c r="S114" s="41"/>
      <c r="T114" s="41"/>
    </row>
    <row r="115" spans="1:20" s="45" customFormat="1" ht="13.8" x14ac:dyDescent="0.3">
      <c r="B115" s="48"/>
      <c r="C115" s="39"/>
      <c r="H115" s="48"/>
      <c r="I115" s="59"/>
      <c r="L115" s="39"/>
      <c r="M115" s="41"/>
      <c r="N115" s="41"/>
      <c r="O115" s="41"/>
      <c r="P115" s="41"/>
      <c r="Q115" s="41"/>
      <c r="R115" s="41"/>
      <c r="S115" s="41"/>
      <c r="T115" s="41"/>
    </row>
    <row r="116" spans="1:20" s="45" customFormat="1" ht="13.8" x14ac:dyDescent="0.3">
      <c r="L116" s="39"/>
      <c r="M116" s="41"/>
      <c r="N116" s="41"/>
      <c r="O116" s="41"/>
      <c r="P116" s="41"/>
      <c r="Q116" s="41"/>
      <c r="R116" s="41"/>
      <c r="S116" s="41"/>
      <c r="T116" s="41"/>
    </row>
    <row r="117" spans="1:20" s="45" customFormat="1" ht="13.8" x14ac:dyDescent="0.3">
      <c r="L117" s="39"/>
      <c r="M117" s="41"/>
      <c r="N117" s="41"/>
      <c r="O117" s="41"/>
      <c r="P117" s="41"/>
      <c r="Q117" s="41"/>
      <c r="R117" s="41"/>
      <c r="S117" s="41"/>
      <c r="T117" s="41"/>
    </row>
    <row r="118" spans="1:20" s="45" customFormat="1" ht="13.8" x14ac:dyDescent="0.3">
      <c r="L118" s="39"/>
      <c r="M118" s="41"/>
      <c r="N118" s="41"/>
      <c r="O118" s="41"/>
      <c r="P118" s="41"/>
      <c r="Q118" s="41"/>
      <c r="R118" s="41"/>
      <c r="S118" s="41"/>
      <c r="T118" s="41"/>
    </row>
    <row r="119" spans="1:20" s="45" customFormat="1" ht="13.8" x14ac:dyDescent="0.3">
      <c r="A119" s="24"/>
      <c r="B119" s="19"/>
      <c r="C119" s="19"/>
      <c r="D119" s="19"/>
      <c r="E119" s="48" t="s">
        <v>72</v>
      </c>
      <c r="F119" s="49" t="str">
        <f>$B$1</f>
        <v>R. Abbott</v>
      </c>
      <c r="H119" s="50"/>
      <c r="I119" s="48" t="s">
        <v>78</v>
      </c>
      <c r="J119" s="51" t="str">
        <f>$E$2</f>
        <v>AA-SM-221</v>
      </c>
      <c r="K119" s="52"/>
      <c r="L119" s="39"/>
      <c r="M119" s="41"/>
      <c r="N119" s="41"/>
      <c r="O119" s="41"/>
      <c r="P119" s="41"/>
      <c r="Q119" s="41"/>
      <c r="R119" s="41"/>
      <c r="S119" s="41"/>
      <c r="T119" s="41"/>
    </row>
    <row r="120" spans="1:20" s="45" customFormat="1" ht="13.8" x14ac:dyDescent="0.3">
      <c r="A120" s="19"/>
      <c r="B120" s="19"/>
      <c r="C120" s="19"/>
      <c r="D120" s="19"/>
      <c r="E120" s="48" t="s">
        <v>74</v>
      </c>
      <c r="F120" s="50" t="str">
        <f>$B$2</f>
        <v xml:space="preserve"> </v>
      </c>
      <c r="H120" s="50"/>
      <c r="I120" s="48" t="s">
        <v>79</v>
      </c>
      <c r="J120" s="52" t="str">
        <f>$E$3</f>
        <v>A</v>
      </c>
      <c r="K120" s="52"/>
      <c r="L120" s="39"/>
      <c r="M120" s="41">
        <v>1</v>
      </c>
      <c r="N120" s="41"/>
      <c r="O120" s="41"/>
      <c r="P120" s="41"/>
      <c r="Q120" s="41"/>
      <c r="R120" s="41"/>
      <c r="S120" s="41"/>
      <c r="T120" s="41"/>
    </row>
    <row r="121" spans="1:20" s="45" customFormat="1" ht="13.8" x14ac:dyDescent="0.3">
      <c r="A121" s="19"/>
      <c r="B121" s="19"/>
      <c r="C121" s="19"/>
      <c r="D121" s="19"/>
      <c r="E121" s="48" t="s">
        <v>7</v>
      </c>
      <c r="F121" s="50" t="str">
        <f>$B$3</f>
        <v>Aug 2010</v>
      </c>
      <c r="H121" s="50"/>
      <c r="I121" s="48" t="s">
        <v>80</v>
      </c>
      <c r="J121" s="49" t="str">
        <f>$B$5&amp;L121&amp;" of "&amp;$B$5&amp;$E$1</f>
        <v>5 of 9</v>
      </c>
      <c r="K121" s="50"/>
      <c r="L121" s="39">
        <f>SUM($M$1:M120)</f>
        <v>5</v>
      </c>
      <c r="M121" s="41"/>
      <c r="N121" s="41"/>
      <c r="O121" s="41"/>
      <c r="P121" s="41"/>
      <c r="Q121" s="41"/>
      <c r="R121" s="41"/>
      <c r="S121" s="41"/>
      <c r="T121" s="41"/>
    </row>
    <row r="122" spans="1:20" s="45" customFormat="1" ht="13.8" x14ac:dyDescent="0.3">
      <c r="L122" s="39"/>
      <c r="M122" s="41"/>
      <c r="N122" s="41"/>
      <c r="O122" s="41"/>
      <c r="P122" s="41"/>
      <c r="Q122" s="41"/>
      <c r="R122" s="41"/>
      <c r="S122" s="41"/>
      <c r="T122" s="41"/>
    </row>
    <row r="123" spans="1:20" s="45" customFormat="1" ht="13.8" x14ac:dyDescent="0.3">
      <c r="I123" s="53"/>
      <c r="J123" s="49"/>
      <c r="L123" s="39"/>
      <c r="M123" s="41"/>
      <c r="N123" s="41"/>
      <c r="O123" s="41"/>
      <c r="P123" s="41"/>
      <c r="Q123" s="41"/>
      <c r="R123" s="41"/>
      <c r="S123" s="41"/>
      <c r="T123" s="41"/>
    </row>
    <row r="124" spans="1:20" x14ac:dyDescent="0.3">
      <c r="B124" s="38" t="str">
        <f>($B$4)&amp;".0 "&amp;$E$4</f>
        <v>3.0 GENERAL</v>
      </c>
    </row>
    <row r="125" spans="1:20" x14ac:dyDescent="0.3">
      <c r="B125" s="38" t="s">
        <v>28</v>
      </c>
    </row>
    <row r="126" spans="1:20" s="45" customFormat="1" ht="13.8" x14ac:dyDescent="0.3">
      <c r="B126" s="54" t="s">
        <v>161</v>
      </c>
      <c r="C126" s="54"/>
      <c r="D126" s="54"/>
      <c r="E126" s="54"/>
      <c r="F126" s="54"/>
      <c r="G126" s="54"/>
      <c r="H126" s="54"/>
      <c r="I126" s="54"/>
      <c r="J126" s="54"/>
      <c r="L126" s="39"/>
      <c r="M126" s="41"/>
      <c r="N126" s="41"/>
      <c r="O126" s="41"/>
      <c r="P126" s="41"/>
      <c r="Q126" s="41"/>
      <c r="R126" s="41"/>
      <c r="S126" s="41"/>
      <c r="T126" s="41"/>
    </row>
    <row r="127" spans="1:20" s="45" customFormat="1" ht="13.8" x14ac:dyDescent="0.3">
      <c r="B127" s="54"/>
      <c r="C127" s="54"/>
      <c r="D127" s="54"/>
      <c r="E127" s="54"/>
      <c r="F127" s="54"/>
      <c r="G127" s="54"/>
      <c r="H127" s="54"/>
      <c r="I127" s="54"/>
      <c r="J127" s="54"/>
      <c r="L127" s="39"/>
      <c r="M127" s="41"/>
      <c r="N127" s="41"/>
      <c r="O127" s="41"/>
      <c r="P127" s="41"/>
      <c r="Q127" s="41"/>
      <c r="R127" s="41"/>
      <c r="S127" s="41"/>
      <c r="T127" s="41"/>
    </row>
    <row r="128" spans="1:20" s="45" customFormat="1" ht="13.8" x14ac:dyDescent="0.3">
      <c r="B128" s="54"/>
      <c r="C128" s="54"/>
      <c r="D128" s="60"/>
      <c r="E128" s="54"/>
      <c r="F128" s="54"/>
      <c r="G128" s="54"/>
      <c r="H128" s="54"/>
      <c r="I128" s="54"/>
      <c r="J128" s="54"/>
      <c r="L128" s="39"/>
      <c r="M128" s="41"/>
      <c r="N128" s="41"/>
      <c r="O128" s="41"/>
      <c r="P128" s="41"/>
      <c r="Q128" s="41"/>
      <c r="R128" s="41"/>
      <c r="S128" s="41"/>
      <c r="T128" s="41"/>
    </row>
    <row r="129" spans="2:20" s="45" customFormat="1" ht="13.8" x14ac:dyDescent="0.3">
      <c r="B129" s="54"/>
      <c r="C129" s="54"/>
      <c r="D129" s="54"/>
      <c r="E129" s="54"/>
      <c r="F129" s="54"/>
      <c r="G129" s="54"/>
      <c r="H129" s="54"/>
      <c r="I129" s="54"/>
      <c r="J129" s="54"/>
      <c r="L129" s="39"/>
      <c r="M129" s="41"/>
      <c r="N129" s="41"/>
      <c r="O129" s="41"/>
      <c r="P129" s="41"/>
      <c r="Q129" s="41"/>
      <c r="R129" s="41"/>
      <c r="S129" s="41"/>
      <c r="T129" s="41"/>
    </row>
    <row r="130" spans="2:20" s="45" customFormat="1" ht="13.8" x14ac:dyDescent="0.3">
      <c r="B130" s="54"/>
      <c r="C130" s="54"/>
      <c r="D130" s="54"/>
      <c r="E130" s="54"/>
      <c r="F130" s="54"/>
      <c r="G130" s="54"/>
      <c r="H130" s="54"/>
      <c r="I130" s="54"/>
      <c r="J130" s="54"/>
      <c r="L130" s="39"/>
      <c r="M130" s="41"/>
      <c r="N130" s="41"/>
      <c r="O130" s="41"/>
      <c r="P130" s="41"/>
      <c r="Q130" s="41"/>
      <c r="R130" s="41"/>
      <c r="S130" s="41"/>
      <c r="T130" s="41"/>
    </row>
    <row r="131" spans="2:20" s="45" customFormat="1" ht="13.8" x14ac:dyDescent="0.3">
      <c r="B131" s="54"/>
      <c r="C131" s="54"/>
      <c r="D131" s="54"/>
      <c r="E131" s="54"/>
      <c r="F131" s="54"/>
      <c r="G131" s="54"/>
      <c r="H131" s="54"/>
      <c r="I131" s="54"/>
      <c r="J131" s="54"/>
      <c r="L131" s="39"/>
      <c r="M131" s="41"/>
      <c r="N131" s="41"/>
      <c r="O131" s="41"/>
      <c r="P131" s="41"/>
      <c r="Q131" s="41"/>
      <c r="R131" s="41"/>
      <c r="S131" s="41"/>
      <c r="T131" s="41"/>
    </row>
    <row r="132" spans="2:20" s="45" customFormat="1" ht="13.8" x14ac:dyDescent="0.3">
      <c r="B132" s="109" t="s">
        <v>101</v>
      </c>
      <c r="C132" s="109"/>
      <c r="D132" s="109"/>
      <c r="E132" s="109"/>
      <c r="F132" s="109"/>
      <c r="G132" s="109"/>
      <c r="H132" s="109"/>
      <c r="I132" s="109"/>
      <c r="J132" s="109"/>
      <c r="L132" s="39"/>
      <c r="M132" s="41"/>
      <c r="N132" s="41"/>
      <c r="O132" s="41"/>
      <c r="P132" s="41"/>
      <c r="Q132" s="41"/>
      <c r="R132" s="41"/>
      <c r="S132" s="41"/>
      <c r="T132" s="41"/>
    </row>
    <row r="133" spans="2:20" s="45" customFormat="1" ht="13.8" x14ac:dyDescent="0.3">
      <c r="B133" s="109"/>
      <c r="C133" s="109"/>
      <c r="D133" s="109"/>
      <c r="E133" s="109"/>
      <c r="F133" s="109"/>
      <c r="G133" s="109"/>
      <c r="H133" s="109"/>
      <c r="I133" s="109"/>
      <c r="J133" s="109"/>
      <c r="L133" s="39"/>
      <c r="M133" s="41"/>
      <c r="N133" s="41"/>
      <c r="O133" s="41"/>
      <c r="P133" s="41"/>
      <c r="Q133" s="41"/>
      <c r="R133" s="41"/>
      <c r="S133" s="41"/>
      <c r="T133" s="41"/>
    </row>
    <row r="134" spans="2:20" s="45" customFormat="1" ht="13.8" x14ac:dyDescent="0.3">
      <c r="B134" s="54"/>
      <c r="C134" s="54"/>
      <c r="D134" s="54"/>
      <c r="E134" s="54"/>
      <c r="F134" s="54"/>
      <c r="G134" s="54"/>
      <c r="H134" s="54"/>
      <c r="I134" s="54"/>
      <c r="J134" s="54"/>
      <c r="L134" s="39"/>
      <c r="M134" s="41"/>
      <c r="N134" s="41"/>
      <c r="O134" s="41"/>
      <c r="P134" s="41"/>
      <c r="Q134" s="41"/>
      <c r="R134" s="41"/>
      <c r="S134" s="41"/>
      <c r="T134" s="41"/>
    </row>
    <row r="135" spans="2:20" s="45" customFormat="1" ht="13.8" x14ac:dyDescent="0.3">
      <c r="B135" s="54"/>
      <c r="C135" s="54"/>
      <c r="D135" s="54"/>
      <c r="E135" s="54"/>
      <c r="F135" s="54"/>
      <c r="G135" s="54"/>
      <c r="H135" s="54"/>
      <c r="I135" s="54"/>
      <c r="J135" s="54"/>
      <c r="L135" s="39"/>
      <c r="M135" s="41"/>
      <c r="N135" s="41"/>
      <c r="O135" s="41"/>
      <c r="P135" s="41"/>
      <c r="Q135" s="41"/>
      <c r="R135" s="41"/>
      <c r="S135" s="41"/>
      <c r="T135" s="41"/>
    </row>
    <row r="136" spans="2:20" s="45" customFormat="1" ht="13.8" x14ac:dyDescent="0.3">
      <c r="B136" s="54"/>
      <c r="C136" s="54"/>
      <c r="D136" s="54"/>
      <c r="E136" s="54"/>
      <c r="F136" s="54"/>
      <c r="G136" s="54"/>
      <c r="H136" s="54"/>
      <c r="I136" s="54"/>
      <c r="J136" s="54"/>
      <c r="L136" s="39"/>
      <c r="M136" s="41"/>
      <c r="N136" s="41"/>
      <c r="O136" s="41"/>
      <c r="P136" s="41"/>
      <c r="Q136" s="41"/>
      <c r="R136" s="41"/>
      <c r="S136" s="41"/>
      <c r="T136" s="41"/>
    </row>
    <row r="137" spans="2:20" s="45" customFormat="1" ht="13.8" x14ac:dyDescent="0.3">
      <c r="B137" s="54"/>
      <c r="C137" s="54"/>
      <c r="D137" s="54"/>
      <c r="E137" s="54"/>
      <c r="F137" s="54"/>
      <c r="G137" s="54"/>
      <c r="H137" s="54"/>
      <c r="I137" s="54"/>
      <c r="J137" s="54"/>
      <c r="L137" s="39"/>
      <c r="M137" s="41"/>
      <c r="N137" s="41"/>
      <c r="O137" s="41"/>
      <c r="P137" s="41"/>
      <c r="Q137" s="41"/>
      <c r="R137" s="41"/>
      <c r="S137" s="41"/>
      <c r="T137" s="41"/>
    </row>
    <row r="138" spans="2:20" s="45" customFormat="1" ht="13.8" x14ac:dyDescent="0.3">
      <c r="B138" s="54"/>
      <c r="C138" s="54"/>
      <c r="D138" s="54"/>
      <c r="E138" s="54"/>
      <c r="F138" s="54"/>
      <c r="G138" s="54"/>
      <c r="H138" s="54"/>
      <c r="I138" s="54"/>
      <c r="J138" s="54"/>
      <c r="L138" s="39"/>
      <c r="M138" s="41"/>
      <c r="N138" s="41"/>
      <c r="O138" s="41"/>
      <c r="P138" s="41"/>
      <c r="Q138" s="41"/>
      <c r="R138" s="41"/>
      <c r="S138" s="41"/>
      <c r="T138" s="41"/>
    </row>
    <row r="139" spans="2:20" s="45" customFormat="1" ht="13.8" x14ac:dyDescent="0.3">
      <c r="B139" s="54"/>
      <c r="C139" s="54"/>
      <c r="D139" s="54"/>
      <c r="E139" s="54"/>
      <c r="F139" s="54"/>
      <c r="G139" s="54"/>
      <c r="H139" s="54"/>
      <c r="I139" s="54"/>
      <c r="J139" s="54"/>
      <c r="L139" s="39"/>
      <c r="M139" s="41"/>
      <c r="N139" s="41"/>
      <c r="O139" s="41"/>
      <c r="P139" s="41"/>
      <c r="Q139" s="41"/>
      <c r="R139" s="41"/>
      <c r="S139" s="41"/>
      <c r="T139" s="41"/>
    </row>
    <row r="140" spans="2:20" s="45" customFormat="1" ht="13.8" x14ac:dyDescent="0.3">
      <c r="B140" s="54"/>
      <c r="C140" s="54"/>
      <c r="D140" s="54"/>
      <c r="E140" s="54"/>
      <c r="F140" s="54"/>
      <c r="G140" s="54"/>
      <c r="H140" s="54"/>
      <c r="I140" s="54"/>
      <c r="J140" s="54"/>
      <c r="L140" s="39"/>
      <c r="M140" s="41"/>
      <c r="N140" s="41"/>
      <c r="O140" s="41"/>
      <c r="P140" s="41"/>
      <c r="Q140" s="41"/>
      <c r="R140" s="41"/>
      <c r="S140" s="41"/>
      <c r="T140" s="41"/>
    </row>
    <row r="141" spans="2:20" s="45" customFormat="1" ht="13.8" x14ac:dyDescent="0.3">
      <c r="B141" s="54"/>
      <c r="C141" s="54"/>
      <c r="D141" s="54"/>
      <c r="E141" s="54"/>
      <c r="F141" s="54"/>
      <c r="G141" s="54"/>
      <c r="H141" s="54"/>
      <c r="I141" s="54"/>
      <c r="J141" s="54"/>
      <c r="L141" s="39"/>
      <c r="M141" s="41"/>
      <c r="N141" s="41"/>
      <c r="O141" s="41"/>
      <c r="P141" s="41"/>
      <c r="Q141" s="41"/>
      <c r="R141" s="41"/>
      <c r="S141" s="41"/>
      <c r="T141" s="41"/>
    </row>
    <row r="142" spans="2:20" s="45" customFormat="1" ht="13.8" x14ac:dyDescent="0.3">
      <c r="B142" s="54"/>
      <c r="C142" s="54"/>
      <c r="D142" s="54"/>
      <c r="E142" s="54"/>
      <c r="F142" s="54"/>
      <c r="G142" s="54"/>
      <c r="H142" s="54"/>
      <c r="I142" s="54"/>
      <c r="J142" s="54"/>
      <c r="L142" s="39"/>
      <c r="M142" s="41"/>
      <c r="N142" s="41"/>
      <c r="O142" s="41"/>
      <c r="P142" s="41"/>
      <c r="Q142" s="41"/>
      <c r="R142" s="41"/>
      <c r="S142" s="41"/>
      <c r="T142" s="41"/>
    </row>
    <row r="143" spans="2:20" s="45" customFormat="1" ht="13.8" x14ac:dyDescent="0.3">
      <c r="B143" s="54"/>
      <c r="C143" s="54"/>
      <c r="D143" s="54"/>
      <c r="E143" s="54"/>
      <c r="F143" s="54"/>
      <c r="G143" s="54"/>
      <c r="H143" s="54"/>
      <c r="I143" s="54"/>
      <c r="J143" s="54"/>
      <c r="L143" s="39"/>
      <c r="M143" s="41"/>
      <c r="N143" s="41"/>
      <c r="O143" s="41"/>
      <c r="P143" s="41"/>
      <c r="Q143" s="41"/>
      <c r="R143" s="41"/>
      <c r="S143" s="41"/>
      <c r="T143" s="41"/>
    </row>
    <row r="144" spans="2:20" s="45" customFormat="1" ht="13.8" x14ac:dyDescent="0.3">
      <c r="B144" s="54"/>
      <c r="C144" s="54"/>
      <c r="D144" s="54"/>
      <c r="E144" s="54"/>
      <c r="F144" s="54"/>
      <c r="G144" s="54"/>
      <c r="H144" s="54"/>
      <c r="I144" s="54"/>
      <c r="J144" s="54"/>
      <c r="L144" s="39"/>
      <c r="M144" s="41"/>
      <c r="N144" s="41"/>
      <c r="O144" s="41"/>
      <c r="P144" s="41"/>
      <c r="Q144" s="41"/>
      <c r="R144" s="41"/>
      <c r="S144" s="41"/>
      <c r="T144" s="41"/>
    </row>
    <row r="145" spans="2:20" s="45" customFormat="1" ht="13.8" x14ac:dyDescent="0.3">
      <c r="B145" s="54"/>
      <c r="C145" s="54"/>
      <c r="D145" s="54"/>
      <c r="E145" s="54"/>
      <c r="F145" s="54"/>
      <c r="G145" s="54"/>
      <c r="H145" s="54"/>
      <c r="I145" s="54"/>
      <c r="J145" s="54"/>
      <c r="L145" s="39"/>
      <c r="M145" s="41"/>
      <c r="N145" s="41"/>
      <c r="O145" s="41"/>
      <c r="P145" s="41"/>
      <c r="Q145" s="41"/>
      <c r="R145" s="41"/>
      <c r="S145" s="41"/>
      <c r="T145" s="41"/>
    </row>
    <row r="146" spans="2:20" s="45" customFormat="1" ht="13.8" x14ac:dyDescent="0.3">
      <c r="B146" s="54"/>
      <c r="C146" s="54"/>
      <c r="D146" s="54"/>
      <c r="E146" s="54"/>
      <c r="F146" s="54"/>
      <c r="G146" s="54"/>
      <c r="H146" s="54"/>
      <c r="I146" s="54"/>
      <c r="J146" s="54"/>
      <c r="L146" s="39"/>
      <c r="M146" s="41"/>
      <c r="N146" s="41"/>
      <c r="O146" s="41"/>
      <c r="P146" s="41"/>
      <c r="Q146" s="41"/>
      <c r="R146" s="41"/>
      <c r="S146" s="41"/>
      <c r="T146" s="41"/>
    </row>
    <row r="147" spans="2:20" s="45" customFormat="1" ht="13.8" x14ac:dyDescent="0.3">
      <c r="B147" s="54"/>
      <c r="C147" s="54"/>
      <c r="D147" s="54"/>
      <c r="E147" s="54"/>
      <c r="F147" s="54"/>
      <c r="G147" s="54"/>
      <c r="H147" s="54"/>
      <c r="I147" s="54"/>
      <c r="J147" s="54"/>
      <c r="L147" s="39"/>
      <c r="M147" s="41"/>
      <c r="N147" s="41"/>
      <c r="O147" s="41"/>
      <c r="P147" s="41"/>
      <c r="Q147" s="41"/>
      <c r="R147" s="41"/>
      <c r="S147" s="41"/>
      <c r="T147" s="41"/>
    </row>
    <row r="148" spans="2:20" s="45" customFormat="1" ht="13.8" x14ac:dyDescent="0.3">
      <c r="B148" s="54"/>
      <c r="C148" s="54"/>
      <c r="D148" s="54"/>
      <c r="E148" s="54"/>
      <c r="F148" s="54"/>
      <c r="G148" s="54"/>
      <c r="H148" s="54"/>
      <c r="I148" s="54"/>
      <c r="J148" s="54"/>
      <c r="L148" s="39"/>
      <c r="M148" s="41"/>
      <c r="N148" s="41"/>
      <c r="O148" s="41"/>
      <c r="P148" s="41"/>
      <c r="Q148" s="41"/>
      <c r="R148" s="41"/>
      <c r="S148" s="41"/>
      <c r="T148" s="41"/>
    </row>
    <row r="149" spans="2:20" s="45" customFormat="1" ht="13.8" x14ac:dyDescent="0.3">
      <c r="B149" s="54"/>
      <c r="C149" s="54"/>
      <c r="D149" s="54"/>
      <c r="E149" s="54"/>
      <c r="F149" s="54"/>
      <c r="G149" s="54"/>
      <c r="H149" s="54"/>
      <c r="I149" s="54"/>
      <c r="J149" s="54"/>
      <c r="L149" s="39"/>
      <c r="M149" s="41"/>
      <c r="N149" s="41"/>
      <c r="O149" s="41"/>
      <c r="P149" s="41"/>
      <c r="Q149" s="41"/>
      <c r="R149" s="41"/>
      <c r="S149" s="41"/>
      <c r="T149" s="41"/>
    </row>
    <row r="150" spans="2:20" s="45" customFormat="1" ht="13.8" x14ac:dyDescent="0.3">
      <c r="B150" s="54"/>
      <c r="C150" s="54"/>
      <c r="D150" s="54"/>
      <c r="E150" s="54"/>
      <c r="F150" s="54"/>
      <c r="G150" s="54"/>
      <c r="H150" s="54"/>
      <c r="I150" s="54"/>
      <c r="J150" s="54"/>
      <c r="L150" s="39"/>
      <c r="M150" s="41"/>
      <c r="N150" s="41"/>
      <c r="O150" s="41"/>
      <c r="P150" s="41"/>
      <c r="Q150" s="41"/>
      <c r="R150" s="41"/>
      <c r="S150" s="41"/>
      <c r="T150" s="41"/>
    </row>
    <row r="151" spans="2:20" s="45" customFormat="1" ht="13.8" x14ac:dyDescent="0.3">
      <c r="B151" s="54"/>
      <c r="C151" s="54"/>
      <c r="D151" s="54"/>
      <c r="E151" s="54"/>
      <c r="F151" s="54"/>
      <c r="G151" s="54"/>
      <c r="H151" s="54"/>
      <c r="I151" s="54"/>
      <c r="J151" s="54"/>
      <c r="L151" s="39"/>
      <c r="M151" s="41"/>
      <c r="N151" s="41"/>
      <c r="O151" s="41"/>
      <c r="P151" s="41"/>
      <c r="Q151" s="41"/>
      <c r="R151" s="41"/>
      <c r="S151" s="41"/>
      <c r="T151" s="41"/>
    </row>
    <row r="152" spans="2:20" s="45" customFormat="1" ht="13.8" x14ac:dyDescent="0.3">
      <c r="D152" s="53" t="str">
        <f>"Figure "&amp;$B$4&amp;"-"&amp;SUM($S$1:S152)&amp;":"</f>
        <v>Figure 3-3:</v>
      </c>
      <c r="E152" s="50" t="str">
        <f>"Ground influence coefficient for a "&amp;'Aircraft Parameters'!C24&amp;"ft wing span"</f>
        <v>Ground influence coefficient for a 16ft wing span</v>
      </c>
      <c r="M152" s="56"/>
      <c r="N152" s="56"/>
      <c r="O152" s="56"/>
      <c r="P152" s="56"/>
      <c r="Q152" s="57"/>
      <c r="R152" s="57"/>
      <c r="S152" s="57">
        <v>1</v>
      </c>
      <c r="T152" s="58"/>
    </row>
    <row r="153" spans="2:20" s="45" customFormat="1" ht="13.8" x14ac:dyDescent="0.3">
      <c r="B153" s="54"/>
      <c r="C153" s="54"/>
      <c r="D153" s="54"/>
      <c r="E153" s="54"/>
      <c r="F153" s="54"/>
      <c r="G153" s="54"/>
      <c r="H153" s="54"/>
      <c r="I153" s="54"/>
      <c r="J153" s="54"/>
      <c r="L153" s="39"/>
      <c r="M153" s="41"/>
      <c r="N153" s="41"/>
      <c r="O153" s="41"/>
      <c r="P153" s="41"/>
      <c r="Q153" s="41"/>
      <c r="R153" s="41"/>
      <c r="S153" s="41"/>
      <c r="T153" s="41"/>
    </row>
    <row r="154" spans="2:20" s="45" customFormat="1" ht="13.8" x14ac:dyDescent="0.3">
      <c r="B154" s="54"/>
      <c r="C154" s="54"/>
      <c r="D154" s="54"/>
      <c r="E154" s="54"/>
      <c r="F154" s="54"/>
      <c r="G154" s="54"/>
      <c r="H154" s="54"/>
      <c r="I154" s="54"/>
      <c r="J154" s="54"/>
      <c r="L154" s="39"/>
      <c r="M154" s="41"/>
      <c r="N154" s="41"/>
      <c r="O154" s="41"/>
      <c r="P154" s="41"/>
      <c r="Q154" s="41"/>
      <c r="R154" s="41"/>
      <c r="S154" s="41"/>
      <c r="T154" s="41"/>
    </row>
    <row r="155" spans="2:20" s="45" customFormat="1" ht="13.8" x14ac:dyDescent="0.3">
      <c r="B155" s="54"/>
      <c r="C155" s="54"/>
      <c r="D155" s="54"/>
      <c r="E155" s="54"/>
      <c r="F155" s="54"/>
      <c r="G155" s="54"/>
      <c r="H155" s="54"/>
      <c r="I155" s="54"/>
      <c r="J155" s="54"/>
      <c r="L155" s="39"/>
      <c r="M155" s="41"/>
      <c r="N155" s="41"/>
      <c r="O155" s="41"/>
      <c r="P155" s="41"/>
      <c r="Q155" s="41"/>
      <c r="R155" s="41"/>
      <c r="S155" s="41"/>
      <c r="T155" s="41"/>
    </row>
    <row r="156" spans="2:20" s="45" customFormat="1" ht="13.8" x14ac:dyDescent="0.3">
      <c r="B156" s="54"/>
      <c r="C156" s="54"/>
      <c r="D156" s="54"/>
      <c r="E156" s="54"/>
      <c r="F156" s="54"/>
      <c r="G156" s="54"/>
      <c r="H156" s="54"/>
      <c r="I156" s="54"/>
      <c r="J156" s="54"/>
      <c r="L156" s="39"/>
      <c r="M156" s="41"/>
      <c r="N156" s="41"/>
      <c r="O156" s="41"/>
      <c r="P156" s="41"/>
      <c r="Q156" s="41"/>
      <c r="R156" s="41"/>
      <c r="S156" s="41"/>
      <c r="T156" s="41"/>
    </row>
    <row r="157" spans="2:20" s="45" customFormat="1" ht="13.8" x14ac:dyDescent="0.3">
      <c r="B157" s="54"/>
      <c r="C157" s="54"/>
      <c r="D157" s="54"/>
      <c r="E157" s="54"/>
      <c r="F157" s="54"/>
      <c r="G157" s="54"/>
      <c r="H157" s="54"/>
      <c r="I157" s="54"/>
      <c r="J157" s="54"/>
      <c r="L157" s="39"/>
      <c r="M157" s="41"/>
      <c r="N157" s="41"/>
      <c r="O157" s="41"/>
      <c r="P157" s="41"/>
      <c r="Q157" s="41"/>
      <c r="R157" s="41"/>
      <c r="S157" s="41"/>
      <c r="T157" s="41"/>
    </row>
    <row r="158" spans="2:20" s="45" customFormat="1" ht="13.8" x14ac:dyDescent="0.3">
      <c r="B158" s="54"/>
      <c r="C158" s="54"/>
      <c r="D158" s="54"/>
      <c r="E158" s="54"/>
      <c r="F158" s="54"/>
      <c r="G158" s="54"/>
      <c r="H158" s="54"/>
      <c r="I158" s="54"/>
      <c r="J158" s="54"/>
      <c r="L158" s="39"/>
      <c r="M158" s="41"/>
      <c r="N158" s="41"/>
      <c r="O158" s="41"/>
      <c r="P158" s="41"/>
      <c r="Q158" s="41"/>
      <c r="R158" s="41"/>
      <c r="S158" s="41"/>
      <c r="T158" s="41"/>
    </row>
    <row r="159" spans="2:20" s="45" customFormat="1" ht="13.8" x14ac:dyDescent="0.3">
      <c r="B159" s="54"/>
      <c r="C159" s="54"/>
      <c r="D159" s="54"/>
      <c r="E159" s="54"/>
      <c r="F159" s="54"/>
      <c r="G159" s="54"/>
      <c r="H159" s="54"/>
      <c r="I159" s="54"/>
      <c r="J159" s="54"/>
      <c r="L159" s="39"/>
      <c r="M159" s="41"/>
      <c r="N159" s="41"/>
      <c r="O159" s="41"/>
      <c r="P159" s="41"/>
      <c r="Q159" s="41"/>
      <c r="R159" s="41"/>
      <c r="S159" s="41"/>
      <c r="T159" s="41"/>
    </row>
    <row r="160" spans="2:20" s="45" customFormat="1" ht="13.8" x14ac:dyDescent="0.3">
      <c r="B160" s="54"/>
      <c r="C160" s="54"/>
      <c r="D160" s="54"/>
      <c r="E160" s="54"/>
      <c r="F160" s="54"/>
      <c r="G160" s="54"/>
      <c r="H160" s="54"/>
      <c r="I160" s="54"/>
      <c r="J160" s="54"/>
      <c r="L160" s="39"/>
      <c r="M160" s="41"/>
      <c r="N160" s="41"/>
      <c r="O160" s="41"/>
      <c r="P160" s="41"/>
      <c r="Q160" s="41"/>
      <c r="R160" s="41"/>
      <c r="S160" s="41"/>
      <c r="T160" s="41"/>
    </row>
    <row r="161" spans="1:20" s="45" customFormat="1" ht="13.8" x14ac:dyDescent="0.3">
      <c r="B161" s="54"/>
      <c r="C161" s="54"/>
      <c r="D161" s="54"/>
      <c r="E161" s="54"/>
      <c r="F161" s="54"/>
      <c r="G161" s="54"/>
      <c r="H161" s="54"/>
      <c r="I161" s="54"/>
      <c r="J161" s="54"/>
      <c r="L161" s="39"/>
      <c r="M161" s="41"/>
      <c r="N161" s="41"/>
      <c r="O161" s="41"/>
      <c r="P161" s="41"/>
      <c r="Q161" s="41"/>
      <c r="R161" s="41"/>
      <c r="S161" s="41"/>
      <c r="T161" s="41"/>
    </row>
    <row r="162" spans="1:20" s="45" customFormat="1" ht="13.8" x14ac:dyDescent="0.3">
      <c r="B162" s="54"/>
      <c r="C162" s="54"/>
      <c r="D162" s="54"/>
      <c r="E162" s="54"/>
      <c r="F162" s="54"/>
      <c r="G162" s="54"/>
      <c r="H162" s="54"/>
      <c r="I162" s="54"/>
      <c r="J162" s="54"/>
      <c r="L162" s="39"/>
      <c r="M162" s="41"/>
      <c r="N162" s="41"/>
      <c r="O162" s="41"/>
      <c r="P162" s="41"/>
      <c r="Q162" s="41"/>
      <c r="R162" s="41"/>
      <c r="S162" s="41"/>
      <c r="T162" s="41"/>
    </row>
    <row r="163" spans="1:20" s="45" customFormat="1" ht="13.8" x14ac:dyDescent="0.3">
      <c r="B163" s="54"/>
      <c r="C163" s="54"/>
      <c r="D163" s="54"/>
      <c r="E163" s="54"/>
      <c r="F163" s="54"/>
      <c r="G163" s="54"/>
      <c r="H163" s="54"/>
      <c r="I163" s="54"/>
      <c r="J163" s="54"/>
      <c r="L163" s="39"/>
      <c r="M163" s="41"/>
      <c r="N163" s="41"/>
      <c r="O163" s="41"/>
      <c r="P163" s="41"/>
      <c r="Q163" s="41"/>
      <c r="R163" s="41"/>
      <c r="S163" s="41"/>
      <c r="T163" s="41"/>
    </row>
    <row r="164" spans="1:20" s="45" customFormat="1" ht="13.8" x14ac:dyDescent="0.3">
      <c r="B164" s="54"/>
      <c r="C164" s="54"/>
      <c r="D164" s="54"/>
      <c r="E164" s="54"/>
      <c r="F164" s="54"/>
      <c r="G164" s="54"/>
      <c r="H164" s="54"/>
      <c r="I164" s="54"/>
      <c r="J164" s="54"/>
      <c r="L164" s="39"/>
      <c r="M164" s="41"/>
      <c r="N164" s="41"/>
      <c r="O164" s="41"/>
      <c r="P164" s="41"/>
      <c r="Q164" s="41"/>
      <c r="R164" s="41"/>
      <c r="S164" s="41"/>
      <c r="T164" s="41"/>
    </row>
    <row r="165" spans="1:20" s="45" customFormat="1" ht="13.8" x14ac:dyDescent="0.3">
      <c r="B165" s="54"/>
      <c r="C165" s="54"/>
      <c r="D165" s="54"/>
      <c r="E165" s="54"/>
      <c r="F165" s="54"/>
      <c r="G165" s="54"/>
      <c r="H165" s="54"/>
      <c r="I165" s="54"/>
      <c r="J165" s="54"/>
      <c r="L165" s="39"/>
      <c r="M165" s="41"/>
      <c r="N165" s="41"/>
      <c r="O165" s="41"/>
      <c r="P165" s="41"/>
      <c r="Q165" s="41"/>
      <c r="R165" s="41"/>
      <c r="S165" s="41"/>
      <c r="T165" s="41"/>
    </row>
    <row r="166" spans="1:20" s="45" customFormat="1" ht="13.8" x14ac:dyDescent="0.3">
      <c r="B166" s="54"/>
      <c r="C166" s="54"/>
      <c r="D166" s="54"/>
      <c r="E166" s="54"/>
      <c r="F166" s="54"/>
      <c r="G166" s="54"/>
      <c r="H166" s="54"/>
      <c r="I166" s="54"/>
      <c r="J166" s="54"/>
      <c r="L166" s="39"/>
      <c r="M166" s="41"/>
      <c r="N166" s="41"/>
      <c r="O166" s="41"/>
      <c r="P166" s="41"/>
      <c r="Q166" s="41"/>
      <c r="R166" s="41"/>
      <c r="S166" s="41"/>
      <c r="T166" s="41"/>
    </row>
    <row r="167" spans="1:20" s="45" customFormat="1" ht="13.8" x14ac:dyDescent="0.3">
      <c r="B167" s="54"/>
      <c r="C167" s="54"/>
      <c r="D167" s="54"/>
      <c r="E167" s="54"/>
      <c r="F167" s="54"/>
      <c r="G167" s="54"/>
      <c r="H167" s="54"/>
      <c r="I167" s="54"/>
      <c r="J167" s="54"/>
      <c r="L167" s="39"/>
      <c r="M167" s="41"/>
      <c r="N167" s="41"/>
      <c r="O167" s="41"/>
      <c r="P167" s="41"/>
      <c r="Q167" s="41"/>
      <c r="R167" s="41"/>
      <c r="S167" s="41"/>
      <c r="T167" s="41"/>
    </row>
    <row r="168" spans="1:20" s="45" customFormat="1" ht="13.8" x14ac:dyDescent="0.3">
      <c r="B168" s="48"/>
      <c r="C168" s="39"/>
      <c r="L168" s="39"/>
      <c r="M168" s="41"/>
      <c r="N168" s="41"/>
      <c r="O168" s="41"/>
      <c r="P168" s="41"/>
      <c r="Q168" s="41"/>
      <c r="R168" s="41"/>
      <c r="S168" s="41"/>
      <c r="T168" s="41"/>
    </row>
    <row r="169" spans="1:20" s="45" customFormat="1" ht="13.8" x14ac:dyDescent="0.3">
      <c r="B169" s="48"/>
      <c r="C169" s="39"/>
      <c r="H169" s="48"/>
      <c r="I169" s="59"/>
      <c r="L169" s="39"/>
      <c r="M169" s="41"/>
      <c r="N169" s="41"/>
      <c r="O169" s="41"/>
      <c r="P169" s="41"/>
      <c r="Q169" s="41"/>
      <c r="R169" s="41"/>
      <c r="S169" s="41"/>
      <c r="T169" s="41"/>
    </row>
    <row r="170" spans="1:20" s="45" customFormat="1" ht="13.8" x14ac:dyDescent="0.3">
      <c r="B170" s="48"/>
      <c r="C170" s="39"/>
      <c r="G170" s="39"/>
      <c r="H170" s="39"/>
      <c r="I170" s="39"/>
      <c r="J170" s="39"/>
      <c r="L170" s="39"/>
      <c r="M170" s="41"/>
      <c r="N170" s="41"/>
      <c r="O170" s="41"/>
      <c r="P170" s="41"/>
      <c r="Q170" s="41"/>
      <c r="R170" s="41"/>
      <c r="S170" s="41"/>
      <c r="T170" s="41"/>
    </row>
    <row r="171" spans="1:20" s="45" customFormat="1" ht="13.8" x14ac:dyDescent="0.3">
      <c r="L171" s="39"/>
      <c r="M171" s="41"/>
      <c r="N171" s="41"/>
      <c r="O171" s="41"/>
      <c r="P171" s="41"/>
      <c r="Q171" s="41"/>
      <c r="R171" s="41"/>
      <c r="S171" s="41"/>
      <c r="T171" s="41"/>
    </row>
    <row r="172" spans="1:20" s="45" customFormat="1" ht="13.8" x14ac:dyDescent="0.3">
      <c r="D172" s="53" t="str">
        <f>"Figure "&amp;$B$4&amp;"-"&amp;SUM($S$1:S172)&amp;":"</f>
        <v>Figure 3-4:</v>
      </c>
      <c r="E172" s="50" t="str">
        <f>"Effect of height on L/D ratio for a "&amp;'Aircraft Parameters'!C24&amp;"ft wing span"</f>
        <v>Effect of height on L/D ratio for a 16ft wing span</v>
      </c>
      <c r="M172" s="56"/>
      <c r="N172" s="56"/>
      <c r="O172" s="56"/>
      <c r="P172" s="56"/>
      <c r="Q172" s="57"/>
      <c r="R172" s="57"/>
      <c r="S172" s="57">
        <v>1</v>
      </c>
      <c r="T172" s="58"/>
    </row>
    <row r="173" spans="1:20" s="45" customFormat="1" ht="13.8" x14ac:dyDescent="0.3">
      <c r="L173" s="39"/>
      <c r="M173" s="41"/>
      <c r="N173" s="41"/>
      <c r="O173" s="41"/>
      <c r="P173" s="41"/>
      <c r="Q173" s="41"/>
      <c r="R173" s="41"/>
      <c r="S173" s="41"/>
      <c r="T173" s="41"/>
    </row>
    <row r="174" spans="1:20" s="45" customFormat="1" ht="13.8" x14ac:dyDescent="0.3">
      <c r="A174" s="24"/>
      <c r="B174" s="19"/>
      <c r="C174" s="19"/>
      <c r="D174" s="19"/>
      <c r="E174" s="48" t="s">
        <v>72</v>
      </c>
      <c r="F174" s="49" t="str">
        <f>$B$1</f>
        <v>R. Abbott</v>
      </c>
      <c r="H174" s="50"/>
      <c r="I174" s="48" t="s">
        <v>78</v>
      </c>
      <c r="J174" s="51" t="str">
        <f>$E$2</f>
        <v>AA-SM-221</v>
      </c>
      <c r="K174" s="52"/>
      <c r="L174" s="39"/>
      <c r="M174" s="41"/>
      <c r="N174" s="41"/>
      <c r="O174" s="41"/>
      <c r="P174" s="41"/>
      <c r="Q174" s="41"/>
      <c r="R174" s="41"/>
      <c r="S174" s="41"/>
      <c r="T174" s="41"/>
    </row>
    <row r="175" spans="1:20" s="45" customFormat="1" ht="13.8" x14ac:dyDescent="0.3">
      <c r="A175" s="19"/>
      <c r="B175" s="19"/>
      <c r="C175" s="19"/>
      <c r="D175" s="19"/>
      <c r="E175" s="48" t="s">
        <v>74</v>
      </c>
      <c r="F175" s="50" t="str">
        <f>$B$2</f>
        <v xml:space="preserve"> </v>
      </c>
      <c r="H175" s="50"/>
      <c r="I175" s="48" t="s">
        <v>79</v>
      </c>
      <c r="J175" s="52" t="str">
        <f>$E$3</f>
        <v>A</v>
      </c>
      <c r="K175" s="52"/>
      <c r="L175" s="39"/>
      <c r="M175" s="41">
        <v>1</v>
      </c>
      <c r="N175" s="41"/>
      <c r="O175" s="41"/>
      <c r="P175" s="41"/>
      <c r="Q175" s="41"/>
      <c r="R175" s="41"/>
      <c r="S175" s="41"/>
      <c r="T175" s="41"/>
    </row>
    <row r="176" spans="1:20" s="45" customFormat="1" ht="13.8" x14ac:dyDescent="0.3">
      <c r="A176" s="19"/>
      <c r="B176" s="19"/>
      <c r="C176" s="19"/>
      <c r="D176" s="19"/>
      <c r="E176" s="48" t="s">
        <v>7</v>
      </c>
      <c r="F176" s="50" t="str">
        <f>$B$3</f>
        <v>Aug 2010</v>
      </c>
      <c r="H176" s="50"/>
      <c r="I176" s="48" t="s">
        <v>80</v>
      </c>
      <c r="J176" s="49" t="str">
        <f>$B$5&amp;L176&amp;" of "&amp;$B$5&amp;$E$1</f>
        <v>6 of 9</v>
      </c>
      <c r="K176" s="50"/>
      <c r="L176" s="39">
        <f>SUM($M$1:M175)</f>
        <v>6</v>
      </c>
      <c r="M176" s="41"/>
      <c r="N176" s="41"/>
      <c r="O176" s="41"/>
      <c r="P176" s="41"/>
      <c r="Q176" s="41"/>
      <c r="R176" s="41"/>
      <c r="S176" s="41"/>
      <c r="T176" s="41"/>
    </row>
    <row r="177" spans="1:20" s="45" customFormat="1" ht="13.8" x14ac:dyDescent="0.3">
      <c r="L177" s="39"/>
      <c r="M177" s="41"/>
      <c r="N177" s="41"/>
      <c r="O177" s="41"/>
      <c r="P177" s="41"/>
      <c r="Q177" s="41"/>
      <c r="R177" s="41"/>
      <c r="S177" s="41"/>
      <c r="T177" s="41"/>
    </row>
    <row r="178" spans="1:20" s="45" customFormat="1" ht="13.8" x14ac:dyDescent="0.3">
      <c r="I178" s="53"/>
      <c r="J178" s="49"/>
      <c r="L178" s="39"/>
      <c r="M178" s="41"/>
      <c r="N178" s="41"/>
      <c r="O178" s="41"/>
      <c r="P178" s="41"/>
      <c r="Q178" s="41"/>
      <c r="R178" s="41"/>
      <c r="S178" s="41"/>
      <c r="T178" s="41"/>
    </row>
    <row r="179" spans="1:20" x14ac:dyDescent="0.3">
      <c r="B179" s="38" t="str">
        <f>($B$4)&amp;".0 "&amp;$E$4</f>
        <v>3.0 GENERAL</v>
      </c>
    </row>
    <row r="180" spans="1:20" x14ac:dyDescent="0.3">
      <c r="B180" s="37" t="s">
        <v>100</v>
      </c>
    </row>
    <row r="181" spans="1:20" s="45" customFormat="1" ht="13.8" x14ac:dyDescent="0.3">
      <c r="B181" s="54"/>
      <c r="C181" s="54"/>
      <c r="D181" s="54"/>
      <c r="E181" s="54"/>
      <c r="F181" s="54"/>
      <c r="G181" s="54"/>
      <c r="H181" s="54"/>
      <c r="I181" s="54"/>
      <c r="J181" s="54"/>
      <c r="L181" s="39"/>
      <c r="M181" s="41"/>
      <c r="N181" s="41"/>
      <c r="O181" s="41"/>
      <c r="P181" s="41"/>
      <c r="Q181" s="41"/>
      <c r="R181" s="41"/>
      <c r="S181" s="41"/>
      <c r="T181" s="41"/>
    </row>
    <row r="182" spans="1:20" s="45" customFormat="1" ht="13.8" x14ac:dyDescent="0.3">
      <c r="B182" s="109" t="s">
        <v>103</v>
      </c>
      <c r="C182" s="109"/>
      <c r="D182" s="109"/>
      <c r="E182" s="109"/>
      <c r="F182" s="109"/>
      <c r="G182" s="109"/>
      <c r="H182" s="109"/>
      <c r="I182" s="109"/>
      <c r="J182" s="109"/>
      <c r="L182" s="39"/>
      <c r="M182" s="41"/>
      <c r="N182" s="41"/>
      <c r="O182" s="41"/>
      <c r="P182" s="41"/>
      <c r="Q182" s="41"/>
      <c r="R182" s="41"/>
      <c r="S182" s="41"/>
      <c r="T182" s="41"/>
    </row>
    <row r="183" spans="1:20" s="45" customFormat="1" ht="13.8" x14ac:dyDescent="0.3">
      <c r="B183" s="109"/>
      <c r="C183" s="109"/>
      <c r="D183" s="109"/>
      <c r="E183" s="109"/>
      <c r="F183" s="109"/>
      <c r="G183" s="109"/>
      <c r="H183" s="109"/>
      <c r="I183" s="109"/>
      <c r="J183" s="109"/>
      <c r="L183" s="39"/>
      <c r="M183" s="41"/>
      <c r="N183" s="41"/>
      <c r="O183" s="41"/>
      <c r="P183" s="41"/>
      <c r="Q183" s="41"/>
      <c r="R183" s="41"/>
      <c r="S183" s="41"/>
      <c r="T183" s="41"/>
    </row>
    <row r="184" spans="1:20" s="45" customFormat="1" ht="13.8" x14ac:dyDescent="0.3">
      <c r="F184" s="55"/>
      <c r="I184" s="54"/>
      <c r="J184" s="54"/>
      <c r="L184" s="39"/>
      <c r="M184" s="41"/>
      <c r="N184" s="41"/>
      <c r="O184" s="41"/>
      <c r="P184" s="41"/>
      <c r="Q184" s="41"/>
      <c r="R184" s="41"/>
      <c r="S184" s="41"/>
      <c r="T184" s="41"/>
    </row>
    <row r="185" spans="1:20" s="45" customFormat="1" ht="15" x14ac:dyDescent="0.35">
      <c r="F185" s="48" t="s">
        <v>183</v>
      </c>
      <c r="G185" s="61">
        <f>'Aircraft Parameters'!C24</f>
        <v>16</v>
      </c>
      <c r="L185" s="39"/>
      <c r="M185" s="41"/>
      <c r="N185" s="41"/>
      <c r="O185" s="41"/>
      <c r="P185" s="41"/>
      <c r="Q185" s="41"/>
      <c r="R185" s="41"/>
      <c r="S185" s="41"/>
      <c r="T185" s="41"/>
    </row>
    <row r="186" spans="1:20" s="45" customFormat="1" ht="13.8" x14ac:dyDescent="0.3">
      <c r="G186" s="45" t="s">
        <v>18</v>
      </c>
      <c r="L186" s="39"/>
      <c r="M186" s="41"/>
      <c r="N186" s="41"/>
      <c r="O186" s="41"/>
      <c r="P186" s="41"/>
      <c r="Q186" s="41"/>
      <c r="R186" s="41"/>
      <c r="S186" s="41"/>
      <c r="T186" s="41"/>
    </row>
    <row r="187" spans="1:20" s="45" customFormat="1" ht="13.8" x14ac:dyDescent="0.3">
      <c r="L187" s="39"/>
      <c r="M187" s="41"/>
      <c r="N187" s="41"/>
      <c r="O187" s="41"/>
      <c r="P187" s="41"/>
      <c r="Q187" s="41"/>
      <c r="R187" s="41"/>
      <c r="S187" s="41"/>
      <c r="T187" s="41"/>
    </row>
    <row r="188" spans="1:20" s="45" customFormat="1" ht="13.8" x14ac:dyDescent="0.3">
      <c r="L188" s="39"/>
      <c r="M188" s="41"/>
      <c r="N188" s="41"/>
      <c r="O188" s="41"/>
      <c r="P188" s="41"/>
      <c r="Q188" s="41"/>
      <c r="R188" s="41"/>
      <c r="S188" s="41"/>
      <c r="T188" s="41"/>
    </row>
    <row r="189" spans="1:20" s="45" customFormat="1" ht="15" x14ac:dyDescent="0.35">
      <c r="E189" s="48" t="s">
        <v>184</v>
      </c>
      <c r="F189" s="61">
        <f>'Aircraft Parameters'!C26</f>
        <v>10</v>
      </c>
      <c r="H189" s="55"/>
      <c r="L189" s="39"/>
      <c r="M189" s="41"/>
      <c r="N189" s="41"/>
      <c r="O189" s="41"/>
      <c r="P189" s="41"/>
      <c r="Q189" s="41"/>
      <c r="R189" s="41"/>
      <c r="S189" s="41"/>
      <c r="T189" s="41"/>
    </row>
    <row r="190" spans="1:20" s="45" customFormat="1" ht="13.8" x14ac:dyDescent="0.3">
      <c r="E190" s="45" t="s">
        <v>17</v>
      </c>
      <c r="H190" s="55"/>
      <c r="L190" s="39"/>
      <c r="M190" s="41"/>
      <c r="N190" s="41"/>
      <c r="O190" s="41"/>
      <c r="P190" s="41"/>
      <c r="Q190" s="41"/>
      <c r="R190" s="41"/>
      <c r="S190" s="41"/>
      <c r="T190" s="41"/>
    </row>
    <row r="191" spans="1:20" s="45" customFormat="1" ht="13.8" x14ac:dyDescent="0.3">
      <c r="H191" s="55"/>
      <c r="L191" s="39"/>
      <c r="M191" s="41"/>
      <c r="N191" s="41"/>
      <c r="O191" s="41"/>
      <c r="P191" s="41"/>
      <c r="Q191" s="41"/>
      <c r="R191" s="41"/>
      <c r="S191" s="41"/>
      <c r="T191" s="41"/>
    </row>
    <row r="192" spans="1:20" s="45" customFormat="1" ht="13.8" x14ac:dyDescent="0.3">
      <c r="H192" s="55"/>
      <c r="L192" s="39"/>
      <c r="M192" s="41"/>
      <c r="N192" s="41"/>
      <c r="O192" s="41"/>
      <c r="P192" s="41"/>
      <c r="Q192" s="41"/>
      <c r="R192" s="41"/>
      <c r="S192" s="41"/>
      <c r="T192" s="41"/>
    </row>
    <row r="193" spans="8:20" s="45" customFormat="1" ht="13.8" x14ac:dyDescent="0.3">
      <c r="L193" s="39"/>
      <c r="M193" s="41"/>
      <c r="N193" s="41"/>
      <c r="O193" s="41"/>
      <c r="P193" s="41"/>
      <c r="Q193" s="41"/>
      <c r="R193" s="41"/>
      <c r="S193" s="41"/>
      <c r="T193" s="41"/>
    </row>
    <row r="194" spans="8:20" s="45" customFormat="1" ht="13.8" x14ac:dyDescent="0.3">
      <c r="L194" s="39"/>
      <c r="M194" s="41"/>
      <c r="N194" s="41"/>
      <c r="O194" s="41"/>
      <c r="P194" s="41"/>
      <c r="Q194" s="41"/>
      <c r="R194" s="41"/>
      <c r="S194" s="41"/>
      <c r="T194" s="41"/>
    </row>
    <row r="195" spans="8:20" s="45" customFormat="1" ht="13.8" x14ac:dyDescent="0.3">
      <c r="L195" s="39"/>
      <c r="M195" s="41"/>
      <c r="N195" s="41"/>
      <c r="O195" s="41"/>
      <c r="P195" s="41"/>
      <c r="Q195" s="41"/>
      <c r="R195" s="41"/>
      <c r="S195" s="41"/>
      <c r="T195" s="41"/>
    </row>
    <row r="196" spans="8:20" s="45" customFormat="1" ht="13.8" x14ac:dyDescent="0.3">
      <c r="L196" s="39"/>
      <c r="M196" s="41"/>
      <c r="N196" s="41"/>
      <c r="O196" s="41"/>
      <c r="P196" s="41"/>
      <c r="Q196" s="41"/>
      <c r="R196" s="41"/>
      <c r="S196" s="41"/>
      <c r="T196" s="41"/>
    </row>
    <row r="197" spans="8:20" s="45" customFormat="1" ht="13.8" x14ac:dyDescent="0.3">
      <c r="H197" s="55"/>
      <c r="L197" s="39"/>
      <c r="M197" s="41"/>
      <c r="N197" s="41"/>
      <c r="O197" s="41"/>
      <c r="P197" s="41"/>
      <c r="Q197" s="41"/>
      <c r="R197" s="41"/>
      <c r="S197" s="41"/>
      <c r="T197" s="41"/>
    </row>
    <row r="198" spans="8:20" s="45" customFormat="1" ht="13.8" x14ac:dyDescent="0.3">
      <c r="H198" s="55"/>
      <c r="L198" s="39"/>
      <c r="M198" s="41"/>
      <c r="N198" s="41"/>
      <c r="O198" s="41"/>
      <c r="P198" s="41"/>
      <c r="Q198" s="41"/>
      <c r="R198" s="41"/>
      <c r="S198" s="41"/>
      <c r="T198" s="41"/>
    </row>
    <row r="199" spans="8:20" s="45" customFormat="1" ht="13.8" x14ac:dyDescent="0.3">
      <c r="H199" s="55"/>
      <c r="L199" s="39"/>
      <c r="M199" s="41"/>
      <c r="N199" s="41"/>
      <c r="O199" s="41"/>
      <c r="P199" s="41"/>
      <c r="Q199" s="41"/>
      <c r="R199" s="41"/>
      <c r="S199" s="41"/>
      <c r="T199" s="41"/>
    </row>
    <row r="200" spans="8:20" s="45" customFormat="1" ht="13.8" x14ac:dyDescent="0.3">
      <c r="H200" s="55"/>
      <c r="L200" s="39"/>
      <c r="M200" s="41"/>
      <c r="N200" s="41"/>
      <c r="O200" s="41"/>
      <c r="P200" s="41"/>
      <c r="Q200" s="41"/>
      <c r="R200" s="41"/>
      <c r="S200" s="41"/>
      <c r="T200" s="41"/>
    </row>
    <row r="201" spans="8:20" s="45" customFormat="1" ht="13.8" x14ac:dyDescent="0.3">
      <c r="L201" s="39"/>
      <c r="M201" s="41"/>
      <c r="N201" s="41"/>
      <c r="O201" s="41"/>
      <c r="P201" s="41"/>
      <c r="Q201" s="41"/>
      <c r="R201" s="41"/>
      <c r="S201" s="41"/>
      <c r="T201" s="41"/>
    </row>
    <row r="202" spans="8:20" s="45" customFormat="1" ht="13.8" x14ac:dyDescent="0.3">
      <c r="L202" s="39"/>
      <c r="M202" s="41"/>
      <c r="N202" s="41"/>
      <c r="O202" s="41"/>
      <c r="P202" s="41"/>
      <c r="Q202" s="41"/>
      <c r="R202" s="41"/>
      <c r="S202" s="41"/>
      <c r="T202" s="41"/>
    </row>
    <row r="203" spans="8:20" s="45" customFormat="1" ht="13.8" x14ac:dyDescent="0.3">
      <c r="L203" s="39"/>
      <c r="M203" s="41"/>
      <c r="N203" s="41"/>
      <c r="O203" s="41"/>
      <c r="P203" s="41"/>
      <c r="Q203" s="41"/>
      <c r="R203" s="41"/>
      <c r="S203" s="41"/>
      <c r="T203" s="41"/>
    </row>
    <row r="204" spans="8:20" s="45" customFormat="1" ht="13.8" x14ac:dyDescent="0.3">
      <c r="L204" s="39"/>
      <c r="M204" s="41"/>
      <c r="N204" s="41"/>
      <c r="O204" s="41"/>
      <c r="P204" s="41"/>
      <c r="Q204" s="41"/>
      <c r="R204" s="41"/>
      <c r="S204" s="41"/>
      <c r="T204" s="41"/>
    </row>
    <row r="205" spans="8:20" s="45" customFormat="1" ht="13.8" x14ac:dyDescent="0.3">
      <c r="H205" s="55"/>
      <c r="L205" s="39"/>
      <c r="M205" s="41"/>
      <c r="N205" s="41"/>
      <c r="O205" s="41"/>
      <c r="P205" s="41"/>
      <c r="Q205" s="41"/>
      <c r="R205" s="41"/>
      <c r="S205" s="41"/>
      <c r="T205" s="41"/>
    </row>
    <row r="206" spans="8:20" s="45" customFormat="1" ht="13.8" x14ac:dyDescent="0.3">
      <c r="H206" s="55"/>
      <c r="L206" s="39"/>
      <c r="M206" s="41"/>
      <c r="N206" s="41"/>
      <c r="O206" s="41"/>
      <c r="P206" s="41"/>
      <c r="Q206" s="41"/>
      <c r="R206" s="41"/>
      <c r="S206" s="41"/>
      <c r="T206" s="41"/>
    </row>
    <row r="207" spans="8:20" s="45" customFormat="1" ht="13.8" x14ac:dyDescent="0.3">
      <c r="H207" s="55"/>
      <c r="L207" s="39"/>
      <c r="M207" s="41"/>
      <c r="N207" s="41"/>
      <c r="O207" s="41"/>
      <c r="P207" s="41"/>
      <c r="Q207" s="41"/>
      <c r="R207" s="41"/>
      <c r="S207" s="41"/>
      <c r="T207" s="41"/>
    </row>
    <row r="208" spans="8:20" s="45" customFormat="1" ht="13.8" x14ac:dyDescent="0.3">
      <c r="L208" s="39"/>
      <c r="M208" s="41"/>
      <c r="N208" s="41"/>
      <c r="O208" s="41"/>
      <c r="P208" s="41"/>
      <c r="Q208" s="41"/>
      <c r="R208" s="41"/>
      <c r="S208" s="41"/>
      <c r="T208" s="41"/>
    </row>
    <row r="209" spans="3:20" s="45" customFormat="1" ht="15" x14ac:dyDescent="0.35">
      <c r="C209" s="48" t="s">
        <v>185</v>
      </c>
      <c r="D209" s="61">
        <f>'Aircraft Parameters'!C27</f>
        <v>10</v>
      </c>
      <c r="L209" s="39"/>
      <c r="M209" s="41"/>
      <c r="N209" s="41"/>
      <c r="O209" s="41"/>
      <c r="P209" s="41"/>
      <c r="Q209" s="41"/>
      <c r="R209" s="41"/>
      <c r="S209" s="41"/>
      <c r="T209" s="41"/>
    </row>
    <row r="210" spans="3:20" s="45" customFormat="1" ht="13.8" x14ac:dyDescent="0.3">
      <c r="C210" s="45" t="s">
        <v>11</v>
      </c>
      <c r="I210" s="48"/>
      <c r="J210" s="61"/>
      <c r="L210" s="39"/>
      <c r="M210" s="41"/>
      <c r="N210" s="41"/>
      <c r="O210" s="41"/>
      <c r="P210" s="41"/>
      <c r="Q210" s="41"/>
      <c r="R210" s="41"/>
      <c r="S210" s="41"/>
      <c r="T210" s="41"/>
    </row>
    <row r="211" spans="3:20" s="45" customFormat="1" ht="13.8" x14ac:dyDescent="0.3">
      <c r="L211" s="39"/>
      <c r="M211" s="41"/>
      <c r="N211" s="41"/>
      <c r="O211" s="41"/>
      <c r="P211" s="41"/>
      <c r="Q211" s="41"/>
      <c r="R211" s="41"/>
      <c r="S211" s="41"/>
      <c r="T211" s="41"/>
    </row>
    <row r="212" spans="3:20" s="45" customFormat="1" ht="13.8" x14ac:dyDescent="0.3">
      <c r="L212" s="39"/>
      <c r="M212" s="41"/>
      <c r="N212" s="41"/>
      <c r="O212" s="41"/>
      <c r="P212" s="41"/>
      <c r="Q212" s="41"/>
      <c r="R212" s="41"/>
      <c r="S212" s="41"/>
      <c r="T212" s="41"/>
    </row>
    <row r="213" spans="3:20" s="45" customFormat="1" ht="13.8" x14ac:dyDescent="0.3">
      <c r="L213" s="39"/>
      <c r="M213" s="41"/>
      <c r="N213" s="41"/>
      <c r="O213" s="41"/>
      <c r="P213" s="41"/>
      <c r="Q213" s="41"/>
      <c r="R213" s="41"/>
      <c r="S213" s="41"/>
      <c r="T213" s="41"/>
    </row>
    <row r="214" spans="3:20" s="45" customFormat="1" ht="13.8" x14ac:dyDescent="0.3">
      <c r="L214" s="39"/>
      <c r="M214" s="41"/>
      <c r="N214" s="41"/>
      <c r="O214" s="41"/>
      <c r="P214" s="41"/>
      <c r="Q214" s="41"/>
      <c r="R214" s="41"/>
      <c r="S214" s="41"/>
      <c r="T214" s="41"/>
    </row>
    <row r="215" spans="3:20" s="45" customFormat="1" ht="13.8" x14ac:dyDescent="0.3">
      <c r="C215" s="48"/>
      <c r="L215" s="39"/>
      <c r="M215" s="41"/>
      <c r="N215" s="41"/>
      <c r="O215" s="41"/>
      <c r="P215" s="41"/>
      <c r="Q215" s="41"/>
      <c r="R215" s="41"/>
      <c r="S215" s="41"/>
      <c r="T215" s="41"/>
    </row>
    <row r="216" spans="3:20" s="45" customFormat="1" ht="13.8" x14ac:dyDescent="0.3">
      <c r="L216" s="39"/>
      <c r="M216" s="41"/>
      <c r="N216" s="41"/>
      <c r="O216" s="41"/>
      <c r="P216" s="41"/>
      <c r="Q216" s="41"/>
      <c r="R216" s="41"/>
      <c r="S216" s="41"/>
      <c r="T216" s="41"/>
    </row>
    <row r="217" spans="3:20" s="45" customFormat="1" ht="13.8" x14ac:dyDescent="0.3">
      <c r="L217" s="39"/>
      <c r="M217" s="41"/>
      <c r="N217" s="41"/>
      <c r="O217" s="41"/>
      <c r="P217" s="41"/>
      <c r="Q217" s="41"/>
      <c r="R217" s="41"/>
      <c r="S217" s="41"/>
      <c r="T217" s="41"/>
    </row>
    <row r="218" spans="3:20" s="45" customFormat="1" ht="13.8" x14ac:dyDescent="0.3">
      <c r="L218" s="39"/>
      <c r="M218" s="41"/>
      <c r="N218" s="41"/>
      <c r="O218" s="41"/>
      <c r="P218" s="41"/>
      <c r="Q218" s="41"/>
      <c r="R218" s="41"/>
      <c r="S218" s="41"/>
      <c r="T218" s="41"/>
    </row>
    <row r="219" spans="3:20" s="45" customFormat="1" ht="13.8" x14ac:dyDescent="0.3">
      <c r="I219" s="45" t="s">
        <v>71</v>
      </c>
      <c r="L219" s="39"/>
      <c r="M219" s="41"/>
      <c r="N219" s="41"/>
      <c r="O219" s="41"/>
      <c r="P219" s="41"/>
      <c r="Q219" s="41"/>
      <c r="R219" s="41"/>
      <c r="S219" s="41"/>
      <c r="T219" s="41"/>
    </row>
    <row r="220" spans="3:20" s="45" customFormat="1" ht="13.8" x14ac:dyDescent="0.3">
      <c r="F220" s="48"/>
      <c r="G220" s="61"/>
      <c r="H220" s="55"/>
      <c r="L220" s="39"/>
      <c r="M220" s="41"/>
      <c r="N220" s="41"/>
      <c r="O220" s="41"/>
      <c r="P220" s="41"/>
      <c r="Q220" s="41"/>
      <c r="R220" s="41"/>
      <c r="S220" s="41"/>
      <c r="T220" s="41"/>
    </row>
    <row r="221" spans="3:20" s="45" customFormat="1" ht="13.8" x14ac:dyDescent="0.3">
      <c r="H221" s="55"/>
      <c r="L221" s="39"/>
      <c r="M221" s="41"/>
      <c r="N221" s="41"/>
      <c r="O221" s="41"/>
      <c r="P221" s="41"/>
      <c r="Q221" s="41"/>
      <c r="R221" s="41"/>
      <c r="S221" s="41"/>
      <c r="T221" s="41"/>
    </row>
    <row r="222" spans="3:20" s="45" customFormat="1" ht="13.8" x14ac:dyDescent="0.3">
      <c r="L222" s="39"/>
      <c r="M222" s="41"/>
      <c r="N222" s="41"/>
      <c r="O222" s="41"/>
      <c r="P222" s="41"/>
      <c r="Q222" s="41"/>
      <c r="R222" s="41"/>
      <c r="S222" s="41"/>
      <c r="T222" s="41"/>
    </row>
    <row r="223" spans="3:20" s="45" customFormat="1" ht="13.8" x14ac:dyDescent="0.3">
      <c r="L223" s="39"/>
      <c r="M223" s="41"/>
      <c r="N223" s="41"/>
      <c r="O223" s="41"/>
      <c r="P223" s="41"/>
      <c r="Q223" s="41"/>
      <c r="R223" s="41"/>
      <c r="S223" s="41"/>
      <c r="T223" s="41"/>
    </row>
    <row r="224" spans="3:20" s="45" customFormat="1" ht="13.8" x14ac:dyDescent="0.3">
      <c r="D224" s="53" t="str">
        <f>"Figure "&amp;$B$4&amp;"-"&amp;SUM($S$1:S224)&amp;":"</f>
        <v>Figure 3-5:</v>
      </c>
      <c r="E224" s="50" t="s">
        <v>102</v>
      </c>
      <c r="M224" s="56"/>
      <c r="N224" s="56"/>
      <c r="O224" s="56"/>
      <c r="P224" s="56"/>
      <c r="Q224" s="57"/>
      <c r="R224" s="57"/>
      <c r="S224" s="57">
        <v>1</v>
      </c>
      <c r="T224" s="58"/>
    </row>
    <row r="225" spans="1:20" s="45" customFormat="1" ht="13.8" x14ac:dyDescent="0.3">
      <c r="B225" s="48"/>
      <c r="C225" s="39"/>
      <c r="G225" s="39"/>
      <c r="H225" s="39"/>
      <c r="I225" s="39"/>
      <c r="J225" s="39"/>
      <c r="L225" s="39"/>
      <c r="M225" s="41"/>
      <c r="N225" s="41"/>
      <c r="O225" s="41"/>
      <c r="P225" s="41"/>
      <c r="Q225" s="41"/>
      <c r="R225" s="41"/>
      <c r="S225" s="41"/>
      <c r="T225" s="41"/>
    </row>
    <row r="226" spans="1:20" s="45" customFormat="1" ht="13.8" x14ac:dyDescent="0.3">
      <c r="L226" s="39"/>
      <c r="M226" s="41"/>
      <c r="N226" s="41"/>
      <c r="O226" s="41"/>
      <c r="P226" s="41"/>
      <c r="Q226" s="41"/>
      <c r="R226" s="41"/>
      <c r="S226" s="41"/>
      <c r="T226" s="41"/>
    </row>
    <row r="227" spans="1:20" s="45" customFormat="1" ht="13.8" x14ac:dyDescent="0.3">
      <c r="A227" s="24"/>
      <c r="B227" s="19"/>
      <c r="C227" s="19"/>
      <c r="D227" s="19"/>
      <c r="E227" s="48" t="s">
        <v>72</v>
      </c>
      <c r="F227" s="49" t="str">
        <f>$B$1</f>
        <v>R. Abbott</v>
      </c>
      <c r="H227" s="50"/>
      <c r="I227" s="48" t="s">
        <v>78</v>
      </c>
      <c r="J227" s="51" t="str">
        <f>$E$2</f>
        <v>AA-SM-221</v>
      </c>
      <c r="K227" s="52"/>
      <c r="L227" s="39"/>
      <c r="M227" s="41"/>
      <c r="N227" s="41"/>
      <c r="O227" s="41"/>
      <c r="P227" s="41"/>
      <c r="Q227" s="41"/>
      <c r="R227" s="41"/>
      <c r="S227" s="41"/>
      <c r="T227" s="41"/>
    </row>
    <row r="228" spans="1:20" s="45" customFormat="1" ht="13.8" x14ac:dyDescent="0.3">
      <c r="A228" s="19"/>
      <c r="B228" s="19"/>
      <c r="C228" s="19"/>
      <c r="D228" s="19"/>
      <c r="E228" s="48" t="s">
        <v>74</v>
      </c>
      <c r="F228" s="50" t="str">
        <f>$B$2</f>
        <v xml:space="preserve"> </v>
      </c>
      <c r="H228" s="50"/>
      <c r="I228" s="48" t="s">
        <v>79</v>
      </c>
      <c r="J228" s="52" t="str">
        <f>$E$3</f>
        <v>A</v>
      </c>
      <c r="K228" s="52"/>
      <c r="L228" s="39"/>
      <c r="M228" s="41">
        <v>1</v>
      </c>
      <c r="N228" s="41"/>
      <c r="O228" s="41"/>
      <c r="P228" s="41"/>
      <c r="Q228" s="41"/>
      <c r="R228" s="41"/>
      <c r="S228" s="41"/>
      <c r="T228" s="41"/>
    </row>
    <row r="229" spans="1:20" s="45" customFormat="1" ht="13.8" x14ac:dyDescent="0.3">
      <c r="A229" s="19"/>
      <c r="B229" s="19"/>
      <c r="C229" s="19"/>
      <c r="D229" s="19"/>
      <c r="E229" s="48" t="s">
        <v>7</v>
      </c>
      <c r="F229" s="50" t="str">
        <f>$B$3</f>
        <v>Aug 2010</v>
      </c>
      <c r="H229" s="50"/>
      <c r="I229" s="48" t="s">
        <v>80</v>
      </c>
      <c r="J229" s="49" t="str">
        <f>$B$5&amp;L229&amp;" of "&amp;$B$5&amp;$E$1</f>
        <v>7 of 9</v>
      </c>
      <c r="K229" s="50"/>
      <c r="L229" s="39">
        <f>SUM($M$1:M228)</f>
        <v>7</v>
      </c>
      <c r="M229" s="41"/>
      <c r="N229" s="41"/>
      <c r="O229" s="41"/>
      <c r="P229" s="41"/>
      <c r="Q229" s="41"/>
      <c r="R229" s="41"/>
      <c r="S229" s="41"/>
      <c r="T229" s="41"/>
    </row>
    <row r="230" spans="1:20" s="45" customFormat="1" ht="13.8" x14ac:dyDescent="0.3">
      <c r="L230" s="39"/>
      <c r="M230" s="41"/>
      <c r="N230" s="41"/>
      <c r="O230" s="41"/>
      <c r="P230" s="41"/>
      <c r="Q230" s="41"/>
      <c r="R230" s="41"/>
      <c r="S230" s="41"/>
      <c r="T230" s="41"/>
    </row>
    <row r="231" spans="1:20" s="45" customFormat="1" ht="13.8" x14ac:dyDescent="0.3">
      <c r="I231" s="53"/>
      <c r="J231" s="49"/>
      <c r="L231" s="39"/>
      <c r="M231" s="41"/>
      <c r="N231" s="41"/>
      <c r="O231" s="41"/>
      <c r="P231" s="41"/>
      <c r="Q231" s="41"/>
      <c r="R231" s="41"/>
      <c r="S231" s="41"/>
      <c r="T231" s="41"/>
    </row>
    <row r="232" spans="1:20" x14ac:dyDescent="0.3">
      <c r="B232" s="38" t="str">
        <f>($B$4)&amp;".0 "&amp;$E$4</f>
        <v>3.0 GENERAL</v>
      </c>
    </row>
    <row r="233" spans="1:20" x14ac:dyDescent="0.3">
      <c r="B233" s="38" t="s">
        <v>28</v>
      </c>
    </row>
    <row r="234" spans="1:20" s="45" customFormat="1" ht="13.8" x14ac:dyDescent="0.3">
      <c r="B234" s="109" t="s">
        <v>170</v>
      </c>
      <c r="C234" s="109"/>
      <c r="D234" s="109"/>
      <c r="E234" s="109"/>
      <c r="F234" s="109"/>
      <c r="G234" s="109"/>
      <c r="H234" s="109"/>
      <c r="I234" s="109"/>
      <c r="J234" s="109"/>
      <c r="L234" s="39"/>
      <c r="M234" s="41"/>
      <c r="N234" s="41"/>
      <c r="O234" s="41"/>
      <c r="P234" s="41"/>
      <c r="Q234" s="41"/>
      <c r="R234" s="41"/>
      <c r="S234" s="41"/>
      <c r="T234" s="41"/>
    </row>
    <row r="235" spans="1:20" s="45" customFormat="1" ht="13.8" x14ac:dyDescent="0.3">
      <c r="B235" s="109"/>
      <c r="C235" s="109"/>
      <c r="D235" s="109"/>
      <c r="E235" s="109"/>
      <c r="F235" s="109"/>
      <c r="G235" s="109"/>
      <c r="H235" s="109"/>
      <c r="I235" s="109"/>
      <c r="J235" s="109"/>
      <c r="L235" s="39"/>
      <c r="M235" s="41"/>
      <c r="N235" s="41"/>
      <c r="O235" s="41"/>
      <c r="P235" s="41"/>
      <c r="Q235" s="41"/>
      <c r="R235" s="41"/>
      <c r="S235" s="41"/>
      <c r="T235" s="41"/>
    </row>
    <row r="236" spans="1:20" s="45" customFormat="1" ht="13.8" x14ac:dyDescent="0.3">
      <c r="I236" s="54"/>
      <c r="J236" s="54"/>
      <c r="L236" s="39"/>
      <c r="M236" s="41"/>
      <c r="N236" s="41"/>
      <c r="O236" s="41"/>
      <c r="P236" s="41"/>
      <c r="Q236" s="41"/>
      <c r="R236" s="41"/>
      <c r="S236" s="41"/>
      <c r="T236" s="41"/>
    </row>
    <row r="237" spans="1:20" s="45" customFormat="1" ht="13.8" x14ac:dyDescent="0.3">
      <c r="B237" s="60"/>
      <c r="C237" s="62" t="s">
        <v>41</v>
      </c>
      <c r="D237" s="63">
        <f>'Aircraft Parameters'!C20</f>
        <v>1800</v>
      </c>
      <c r="E237" s="60" t="s">
        <v>20</v>
      </c>
      <c r="G237" s="62"/>
      <c r="H237" s="64"/>
      <c r="I237" s="54"/>
      <c r="J237" s="54"/>
      <c r="L237" s="39"/>
      <c r="M237" s="41"/>
      <c r="N237" s="41"/>
      <c r="O237" s="41"/>
      <c r="P237" s="41"/>
      <c r="Q237" s="41"/>
      <c r="R237" s="41"/>
      <c r="S237" s="41"/>
      <c r="T237" s="41"/>
    </row>
    <row r="238" spans="1:20" s="45" customFormat="1" ht="13.8" x14ac:dyDescent="0.3">
      <c r="B238" s="60"/>
      <c r="C238" s="62" t="s">
        <v>51</v>
      </c>
      <c r="D238" s="65">
        <f>'Aircraft Parameters'!C28</f>
        <v>160</v>
      </c>
      <c r="E238" s="60" t="s">
        <v>60</v>
      </c>
      <c r="J238" s="54"/>
      <c r="L238" s="39"/>
      <c r="M238" s="41"/>
      <c r="N238" s="41"/>
      <c r="O238" s="41"/>
      <c r="P238" s="41"/>
      <c r="Q238" s="41"/>
      <c r="R238" s="41"/>
      <c r="S238" s="41"/>
      <c r="T238" s="41"/>
    </row>
    <row r="239" spans="1:20" s="45" customFormat="1" ht="13.8" x14ac:dyDescent="0.3">
      <c r="B239" s="60"/>
      <c r="C239" s="62" t="s">
        <v>154</v>
      </c>
      <c r="D239" s="64">
        <v>5.1890000000000001</v>
      </c>
      <c r="E239" s="60" t="s">
        <v>25</v>
      </c>
      <c r="F239" s="60"/>
      <c r="G239" s="60"/>
      <c r="H239" s="60"/>
      <c r="I239" s="54"/>
      <c r="J239" s="54"/>
      <c r="L239" s="39"/>
      <c r="M239" s="41"/>
      <c r="N239" s="41"/>
      <c r="O239" s="41"/>
      <c r="P239" s="41"/>
      <c r="Q239" s="41"/>
      <c r="R239" s="41"/>
      <c r="S239" s="41"/>
      <c r="T239" s="41"/>
    </row>
    <row r="240" spans="1:20" s="45" customFormat="1" ht="13.8" x14ac:dyDescent="0.3">
      <c r="B240" s="60"/>
      <c r="C240" s="62" t="s">
        <v>53</v>
      </c>
      <c r="D240" s="63">
        <f>('Aircraft Parameters'!C26+'Aircraft Parameters'!C27)/2</f>
        <v>10</v>
      </c>
      <c r="E240" s="60" t="s">
        <v>14</v>
      </c>
      <c r="F240" s="60"/>
      <c r="G240" s="60"/>
      <c r="H240" s="60"/>
      <c r="I240" s="54"/>
      <c r="J240" s="54"/>
      <c r="L240" s="39"/>
      <c r="M240" s="41"/>
      <c r="N240" s="41"/>
      <c r="O240" s="41"/>
      <c r="P240" s="41"/>
      <c r="Q240" s="41"/>
      <c r="R240" s="41"/>
      <c r="S240" s="41"/>
      <c r="T240" s="41"/>
    </row>
    <row r="241" spans="2:20" s="45" customFormat="1" ht="13.8" x14ac:dyDescent="0.3">
      <c r="B241" s="60"/>
      <c r="C241" s="62" t="s">
        <v>61</v>
      </c>
      <c r="D241" s="64">
        <f>'Aircraft Parameters'!C24</f>
        <v>16</v>
      </c>
      <c r="E241" s="54" t="s">
        <v>14</v>
      </c>
      <c r="F241" s="60"/>
      <c r="G241" s="60"/>
      <c r="H241" s="60"/>
      <c r="I241" s="54"/>
      <c r="J241" s="54"/>
      <c r="L241" s="39"/>
      <c r="M241" s="41"/>
      <c r="N241" s="41"/>
      <c r="O241" s="41"/>
      <c r="P241" s="41"/>
      <c r="Q241" s="41"/>
      <c r="R241" s="41"/>
      <c r="S241" s="41"/>
      <c r="T241" s="41"/>
    </row>
    <row r="242" spans="2:20" s="45" customFormat="1" ht="13.8" x14ac:dyDescent="0.3">
      <c r="B242" s="60"/>
      <c r="C242" s="60"/>
      <c r="D242" s="60"/>
      <c r="E242" s="60"/>
      <c r="F242" s="60"/>
      <c r="G242" s="60"/>
      <c r="H242" s="60"/>
      <c r="I242" s="54"/>
      <c r="J242" s="54"/>
      <c r="L242" s="39"/>
      <c r="M242" s="41"/>
      <c r="N242" s="41"/>
      <c r="O242" s="41"/>
      <c r="P242" s="41"/>
      <c r="Q242" s="41"/>
      <c r="R242" s="41"/>
      <c r="S242" s="41"/>
      <c r="T242" s="41"/>
    </row>
    <row r="243" spans="2:20" s="45" customFormat="1" ht="13.8" x14ac:dyDescent="0.3">
      <c r="B243" s="60"/>
      <c r="C243" s="60"/>
      <c r="D243" s="60"/>
      <c r="E243" s="60"/>
      <c r="F243" s="60"/>
      <c r="G243" s="60"/>
      <c r="H243" s="60"/>
      <c r="I243" s="54"/>
      <c r="J243" s="54"/>
      <c r="L243" s="39"/>
      <c r="M243" s="41"/>
      <c r="N243" s="41"/>
      <c r="O243" s="41"/>
      <c r="P243" s="41"/>
      <c r="Q243" s="41"/>
      <c r="R243" s="41"/>
      <c r="S243" s="41"/>
      <c r="T243" s="41"/>
    </row>
    <row r="244" spans="2:20" s="45" customFormat="1" ht="13.8" x14ac:dyDescent="0.3">
      <c r="B244" s="54"/>
      <c r="C244" s="54"/>
      <c r="D244" s="54"/>
      <c r="E244" s="54"/>
      <c r="F244" s="54"/>
      <c r="G244" s="54"/>
      <c r="H244" s="54"/>
      <c r="I244" s="54"/>
      <c r="J244" s="54"/>
      <c r="L244" s="39"/>
      <c r="M244" s="41"/>
      <c r="N244" s="41"/>
      <c r="O244" s="41"/>
      <c r="P244" s="41"/>
      <c r="Q244" s="41"/>
      <c r="R244" s="41"/>
      <c r="S244" s="41"/>
      <c r="T244" s="41"/>
    </row>
    <row r="245" spans="2:20" s="45" customFormat="1" ht="13.8" x14ac:dyDescent="0.3">
      <c r="B245" s="54"/>
      <c r="C245" s="54"/>
      <c r="D245" s="54"/>
      <c r="E245" s="54"/>
      <c r="F245" s="54"/>
      <c r="G245" s="54"/>
      <c r="H245" s="54"/>
      <c r="I245" s="54"/>
      <c r="J245" s="54"/>
      <c r="L245" s="39"/>
      <c r="M245" s="41"/>
      <c r="N245" s="41"/>
      <c r="O245" s="41"/>
      <c r="P245" s="41"/>
      <c r="Q245" s="41"/>
      <c r="R245" s="41"/>
      <c r="S245" s="41"/>
      <c r="T245" s="41"/>
    </row>
    <row r="246" spans="2:20" s="45" customFormat="1" ht="13.8" x14ac:dyDescent="0.3">
      <c r="B246" s="60" t="s">
        <v>104</v>
      </c>
      <c r="C246" s="54"/>
      <c r="D246" s="54"/>
      <c r="E246" s="54"/>
      <c r="F246" s="54"/>
      <c r="G246" s="54"/>
      <c r="H246" s="54"/>
      <c r="I246" s="54"/>
      <c r="J246" s="54"/>
      <c r="L246" s="39"/>
      <c r="M246" s="41"/>
      <c r="N246" s="41"/>
      <c r="O246" s="41"/>
      <c r="P246" s="41"/>
      <c r="Q246" s="41"/>
      <c r="R246" s="41"/>
      <c r="S246" s="41"/>
      <c r="T246" s="41"/>
    </row>
    <row r="247" spans="2:20" s="45" customFormat="1" ht="13.8" x14ac:dyDescent="0.3">
      <c r="J247" s="54"/>
      <c r="L247" s="39"/>
      <c r="M247" s="41"/>
      <c r="N247" s="41"/>
      <c r="O247" s="41"/>
      <c r="P247" s="41"/>
      <c r="Q247" s="41"/>
      <c r="R247" s="41"/>
      <c r="S247" s="41"/>
      <c r="T247" s="41"/>
    </row>
    <row r="248" spans="2:20" s="45" customFormat="1" ht="13.8" x14ac:dyDescent="0.3">
      <c r="B248" s="62" t="s">
        <v>1</v>
      </c>
      <c r="C248" s="60">
        <v>0</v>
      </c>
      <c r="D248" s="60" t="s">
        <v>14</v>
      </c>
      <c r="E248" s="60"/>
      <c r="J248" s="54"/>
      <c r="L248" s="39"/>
      <c r="M248" s="41"/>
      <c r="N248" s="41"/>
      <c r="O248" s="41"/>
      <c r="P248" s="41"/>
      <c r="Q248" s="41"/>
      <c r="R248" s="41"/>
      <c r="S248" s="41"/>
      <c r="T248" s="41"/>
    </row>
    <row r="249" spans="2:20" s="45" customFormat="1" ht="13.8" x14ac:dyDescent="0.3">
      <c r="B249" s="62" t="s">
        <v>2</v>
      </c>
      <c r="C249" s="66">
        <f>C256-C257*C248</f>
        <v>59</v>
      </c>
      <c r="D249" s="60" t="s">
        <v>15</v>
      </c>
      <c r="E249" s="60"/>
      <c r="F249" s="54"/>
      <c r="G249" s="54"/>
      <c r="H249" s="54"/>
      <c r="I249" s="54"/>
      <c r="J249" s="54"/>
      <c r="L249" s="39"/>
      <c r="M249" s="41"/>
      <c r="N249" s="41"/>
      <c r="O249" s="41"/>
      <c r="P249" s="41"/>
      <c r="Q249" s="41"/>
      <c r="R249" s="41"/>
      <c r="S249" s="41"/>
      <c r="T249" s="41"/>
    </row>
    <row r="250" spans="2:20" s="45" customFormat="1" ht="15" x14ac:dyDescent="0.3">
      <c r="B250" s="62" t="s">
        <v>3</v>
      </c>
      <c r="C250" s="67">
        <f>C255*((C249+459.7)/518.6)^5.265</f>
        <v>2118.949929772893</v>
      </c>
      <c r="D250" s="60" t="s">
        <v>186</v>
      </c>
      <c r="E250" s="60"/>
      <c r="F250" s="54"/>
      <c r="G250" s="54"/>
      <c r="H250" s="54"/>
      <c r="I250" s="54"/>
      <c r="J250" s="54"/>
      <c r="L250" s="39"/>
      <c r="M250" s="41"/>
      <c r="N250" s="41"/>
      <c r="O250" s="41"/>
      <c r="P250" s="41"/>
      <c r="Q250" s="41"/>
      <c r="R250" s="41"/>
      <c r="S250" s="41"/>
      <c r="T250" s="41"/>
    </row>
    <row r="251" spans="2:20" s="45" customFormat="1" ht="15" x14ac:dyDescent="0.3">
      <c r="B251" s="62" t="s">
        <v>16</v>
      </c>
      <c r="C251" s="68">
        <f>C250/(1718*(C249+459.7))</f>
        <v>2.3778326556214268E-3</v>
      </c>
      <c r="D251" s="69" t="s">
        <v>187</v>
      </c>
      <c r="E251" s="60"/>
      <c r="F251" s="54"/>
      <c r="G251" s="54"/>
      <c r="H251" s="54"/>
      <c r="I251" s="54"/>
      <c r="J251" s="54"/>
      <c r="L251" s="39"/>
      <c r="M251" s="41"/>
      <c r="N251" s="41"/>
      <c r="O251" s="41"/>
      <c r="P251" s="41"/>
      <c r="Q251" s="41"/>
      <c r="R251" s="41"/>
      <c r="S251" s="41"/>
      <c r="T251" s="41"/>
    </row>
    <row r="252" spans="2:20" s="45" customFormat="1" ht="15" x14ac:dyDescent="0.3">
      <c r="B252" s="62" t="s">
        <v>16</v>
      </c>
      <c r="C252" s="60">
        <f>C251*32.1740486</f>
        <v>7.6504503424630846E-2</v>
      </c>
      <c r="D252" s="69" t="s">
        <v>188</v>
      </c>
      <c r="E252" s="60"/>
      <c r="F252" s="54"/>
      <c r="G252" s="54"/>
      <c r="H252" s="54"/>
      <c r="I252" s="54"/>
      <c r="J252" s="54"/>
      <c r="L252" s="39"/>
      <c r="M252" s="41"/>
      <c r="N252" s="41"/>
      <c r="O252" s="41"/>
      <c r="P252" s="41"/>
      <c r="Q252" s="41"/>
      <c r="R252" s="41"/>
      <c r="S252" s="41"/>
      <c r="T252" s="41"/>
    </row>
    <row r="253" spans="2:20" s="45" customFormat="1" ht="13.8" x14ac:dyDescent="0.3">
      <c r="B253" s="62"/>
      <c r="C253" s="67"/>
      <c r="D253" s="60"/>
      <c r="E253" s="60"/>
      <c r="F253" s="54"/>
      <c r="G253" s="54"/>
      <c r="H253" s="54"/>
      <c r="I253" s="54"/>
      <c r="J253" s="54"/>
      <c r="L253" s="39"/>
      <c r="M253" s="41"/>
      <c r="N253" s="41"/>
      <c r="O253" s="41"/>
      <c r="P253" s="41"/>
      <c r="Q253" s="41"/>
      <c r="R253" s="41"/>
      <c r="S253" s="41"/>
      <c r="T253" s="41"/>
    </row>
    <row r="254" spans="2:20" s="45" customFormat="1" ht="13.8" x14ac:dyDescent="0.3">
      <c r="B254" s="70" t="s">
        <v>6</v>
      </c>
      <c r="C254" s="60"/>
      <c r="D254" s="60"/>
      <c r="E254" s="54"/>
      <c r="F254" s="54"/>
      <c r="G254" s="54"/>
      <c r="H254" s="54"/>
      <c r="I254" s="54"/>
      <c r="J254" s="54"/>
      <c r="L254" s="39"/>
      <c r="M254" s="41"/>
      <c r="N254" s="41"/>
      <c r="O254" s="41"/>
      <c r="P254" s="41"/>
      <c r="Q254" s="41"/>
      <c r="R254" s="41"/>
      <c r="S254" s="41"/>
      <c r="T254" s="41"/>
    </row>
    <row r="255" spans="2:20" s="45" customFormat="1" x14ac:dyDescent="0.35">
      <c r="B255" s="62" t="s">
        <v>189</v>
      </c>
      <c r="C255" s="60">
        <f>'Aircraft Parameters'!C32</f>
        <v>2116.7999999999997</v>
      </c>
      <c r="D255" s="60" t="s">
        <v>190</v>
      </c>
      <c r="E255" s="54"/>
      <c r="F255" s="54"/>
      <c r="G255" s="54"/>
      <c r="H255" s="54"/>
      <c r="I255" s="54"/>
      <c r="J255" s="54"/>
      <c r="L255" s="39"/>
      <c r="M255" s="41"/>
      <c r="N255" s="41"/>
      <c r="O255" s="41"/>
      <c r="P255" s="41"/>
      <c r="Q255" s="41"/>
      <c r="R255" s="41"/>
      <c r="S255" s="41"/>
      <c r="T255" s="41"/>
    </row>
    <row r="256" spans="2:20" s="45" customFormat="1" ht="15" x14ac:dyDescent="0.35">
      <c r="B256" s="62" t="s">
        <v>191</v>
      </c>
      <c r="C256" s="60">
        <f>'Aircraft Parameters'!C33</f>
        <v>59</v>
      </c>
      <c r="D256" s="60" t="s">
        <v>13</v>
      </c>
      <c r="E256" s="54"/>
      <c r="F256" s="54"/>
      <c r="G256" s="54"/>
      <c r="H256" s="54"/>
      <c r="I256" s="54"/>
      <c r="J256" s="54"/>
      <c r="L256" s="39"/>
      <c r="M256" s="41"/>
      <c r="N256" s="41"/>
      <c r="O256" s="41"/>
      <c r="P256" s="41"/>
      <c r="Q256" s="41"/>
      <c r="R256" s="41"/>
      <c r="S256" s="41"/>
      <c r="T256" s="41"/>
    </row>
    <row r="257" spans="2:20" s="45" customFormat="1" ht="13.8" x14ac:dyDescent="0.3">
      <c r="B257" s="62" t="s">
        <v>0</v>
      </c>
      <c r="C257" s="60">
        <f>'Aircraft Parameters'!C34</f>
        <v>2.3700000000000001E-3</v>
      </c>
      <c r="D257" s="60" t="s">
        <v>12</v>
      </c>
      <c r="E257" s="54"/>
      <c r="F257" s="54"/>
      <c r="G257" s="54"/>
      <c r="H257" s="54"/>
      <c r="I257" s="54"/>
      <c r="J257" s="54"/>
      <c r="L257" s="39"/>
      <c r="M257" s="41"/>
      <c r="N257" s="41"/>
      <c r="O257" s="41"/>
      <c r="P257" s="41"/>
      <c r="Q257" s="41"/>
      <c r="R257" s="41"/>
      <c r="S257" s="41"/>
      <c r="T257" s="41"/>
    </row>
    <row r="258" spans="2:20" s="45" customFormat="1" ht="13.8" x14ac:dyDescent="0.3">
      <c r="B258" s="62"/>
      <c r="C258" s="60"/>
      <c r="D258" s="69"/>
      <c r="E258" s="54"/>
      <c r="F258" s="54"/>
      <c r="G258" s="54"/>
      <c r="H258" s="54"/>
      <c r="I258" s="54"/>
      <c r="J258" s="54"/>
      <c r="L258" s="39"/>
      <c r="M258" s="41"/>
      <c r="N258" s="41"/>
      <c r="O258" s="41"/>
      <c r="P258" s="41"/>
      <c r="Q258" s="41"/>
      <c r="R258" s="41"/>
      <c r="S258" s="41"/>
      <c r="T258" s="41"/>
    </row>
    <row r="259" spans="2:20" s="45" customFormat="1" ht="13.8" x14ac:dyDescent="0.3">
      <c r="B259" s="54"/>
      <c r="C259" s="54"/>
      <c r="D259" s="54"/>
      <c r="E259" s="54"/>
      <c r="F259" s="54"/>
      <c r="G259" s="54"/>
      <c r="H259" s="54"/>
      <c r="I259" s="54"/>
      <c r="J259" s="54"/>
      <c r="L259" s="39"/>
      <c r="M259" s="41"/>
      <c r="N259" s="41"/>
      <c r="O259" s="41"/>
      <c r="P259" s="41"/>
      <c r="Q259" s="41"/>
      <c r="R259" s="41"/>
      <c r="S259" s="41"/>
      <c r="T259" s="41"/>
    </row>
    <row r="260" spans="2:20" s="45" customFormat="1" ht="13.8" x14ac:dyDescent="0.3">
      <c r="B260" s="109" t="s">
        <v>105</v>
      </c>
      <c r="C260" s="109"/>
      <c r="D260" s="109"/>
      <c r="E260" s="109"/>
      <c r="F260" s="109"/>
      <c r="G260" s="109"/>
      <c r="H260" s="109"/>
      <c r="I260" s="109"/>
      <c r="J260" s="109"/>
      <c r="L260" s="39"/>
      <c r="M260" s="41"/>
      <c r="N260" s="41"/>
      <c r="O260" s="41"/>
      <c r="P260" s="41"/>
      <c r="Q260" s="41"/>
      <c r="R260" s="41"/>
      <c r="S260" s="41"/>
      <c r="T260" s="41"/>
    </row>
    <row r="261" spans="2:20" s="45" customFormat="1" ht="13.8" x14ac:dyDescent="0.3">
      <c r="B261" s="109"/>
      <c r="C261" s="109"/>
      <c r="D261" s="109"/>
      <c r="E261" s="109"/>
      <c r="F261" s="109"/>
      <c r="G261" s="109"/>
      <c r="H261" s="109"/>
      <c r="I261" s="109"/>
      <c r="J261" s="109"/>
      <c r="L261" s="39"/>
      <c r="M261" s="41"/>
      <c r="N261" s="41"/>
      <c r="O261" s="41"/>
      <c r="P261" s="41"/>
      <c r="Q261" s="41"/>
      <c r="R261" s="41"/>
      <c r="S261" s="41"/>
      <c r="T261" s="41"/>
    </row>
    <row r="262" spans="2:20" s="45" customFormat="1" ht="13.8" x14ac:dyDescent="0.3">
      <c r="B262" s="54"/>
      <c r="C262" s="54"/>
      <c r="D262" s="54"/>
      <c r="E262" s="54"/>
      <c r="F262" s="54"/>
      <c r="G262" s="54"/>
      <c r="H262" s="54"/>
      <c r="I262" s="54"/>
      <c r="J262" s="54"/>
      <c r="L262" s="39"/>
      <c r="M262" s="41"/>
      <c r="N262" s="41"/>
      <c r="O262" s="41"/>
      <c r="P262" s="41"/>
      <c r="Q262" s="41"/>
      <c r="R262" s="41"/>
      <c r="S262" s="41"/>
      <c r="T262" s="41"/>
    </row>
    <row r="263" spans="2:20" s="45" customFormat="1" ht="13.8" x14ac:dyDescent="0.3">
      <c r="L263" s="39"/>
      <c r="M263" s="41"/>
      <c r="N263" s="41"/>
      <c r="O263" s="41"/>
      <c r="P263" s="41"/>
      <c r="Q263" s="41"/>
      <c r="R263" s="41"/>
      <c r="S263" s="41"/>
      <c r="T263" s="41"/>
    </row>
    <row r="264" spans="2:20" s="45" customFormat="1" ht="13.8" x14ac:dyDescent="0.3">
      <c r="L264" s="39"/>
      <c r="M264" s="41"/>
      <c r="N264" s="41"/>
      <c r="O264" s="41"/>
      <c r="P264" s="41"/>
      <c r="Q264" s="41"/>
      <c r="R264" s="41"/>
      <c r="S264" s="41"/>
      <c r="T264" s="41"/>
    </row>
    <row r="265" spans="2:20" s="45" customFormat="1" ht="13.8" x14ac:dyDescent="0.3">
      <c r="L265" s="39"/>
      <c r="M265" s="41"/>
      <c r="N265" s="41"/>
      <c r="O265" s="41"/>
      <c r="P265" s="41"/>
      <c r="Q265" s="41"/>
      <c r="R265" s="41"/>
      <c r="S265" s="41"/>
      <c r="T265" s="41"/>
    </row>
    <row r="266" spans="2:20" s="45" customFormat="1" ht="13.8" x14ac:dyDescent="0.3">
      <c r="B266" s="54"/>
      <c r="C266" s="54"/>
      <c r="D266" s="54"/>
      <c r="E266" s="54"/>
      <c r="F266" s="54"/>
      <c r="G266" s="54"/>
      <c r="H266" s="54"/>
      <c r="I266" s="54"/>
      <c r="J266" s="54"/>
      <c r="L266" s="39"/>
      <c r="M266" s="41"/>
      <c r="N266" s="41"/>
      <c r="O266" s="41"/>
      <c r="P266" s="41"/>
      <c r="Q266" s="41"/>
      <c r="R266" s="41"/>
      <c r="S266" s="41"/>
      <c r="T266" s="41"/>
    </row>
    <row r="267" spans="2:20" s="45" customFormat="1" ht="13.8" x14ac:dyDescent="0.3">
      <c r="B267" s="54"/>
      <c r="C267" s="54"/>
      <c r="D267" s="54"/>
      <c r="E267" s="54"/>
      <c r="F267" s="54"/>
      <c r="G267" s="54"/>
      <c r="H267" s="54"/>
      <c r="I267" s="54"/>
      <c r="J267" s="54"/>
      <c r="L267" s="39"/>
      <c r="M267" s="41"/>
      <c r="N267" s="41"/>
      <c r="O267" s="41"/>
      <c r="P267" s="41"/>
      <c r="Q267" s="41"/>
      <c r="R267" s="41"/>
      <c r="S267" s="41"/>
      <c r="T267" s="41"/>
    </row>
    <row r="268" spans="2:20" s="45" customFormat="1" ht="13.8" x14ac:dyDescent="0.3">
      <c r="B268" s="54"/>
      <c r="C268" s="54"/>
      <c r="D268" s="54"/>
      <c r="E268" s="54"/>
      <c r="F268" s="54"/>
      <c r="G268" s="54"/>
      <c r="H268" s="54"/>
      <c r="I268" s="54"/>
      <c r="J268" s="54"/>
      <c r="L268" s="39"/>
      <c r="M268" s="41"/>
      <c r="N268" s="41"/>
      <c r="O268" s="41"/>
      <c r="P268" s="41"/>
      <c r="Q268" s="41"/>
      <c r="R268" s="41"/>
      <c r="S268" s="41"/>
      <c r="T268" s="41"/>
    </row>
    <row r="269" spans="2:20" s="45" customFormat="1" ht="13.8" x14ac:dyDescent="0.3">
      <c r="B269" s="54"/>
      <c r="C269" s="54"/>
      <c r="D269" s="54"/>
      <c r="E269" s="54"/>
      <c r="F269" s="54"/>
      <c r="G269" s="54"/>
      <c r="H269" s="54"/>
      <c r="I269" s="54"/>
      <c r="J269" s="54"/>
      <c r="L269" s="39"/>
      <c r="M269" s="41"/>
      <c r="N269" s="41"/>
      <c r="O269" s="41"/>
      <c r="P269" s="41"/>
      <c r="Q269" s="41"/>
      <c r="R269" s="41"/>
      <c r="S269" s="41"/>
      <c r="T269" s="41"/>
    </row>
    <row r="270" spans="2:20" s="45" customFormat="1" ht="13.8" x14ac:dyDescent="0.3">
      <c r="B270" s="54"/>
      <c r="C270" s="54"/>
      <c r="D270" s="54"/>
      <c r="E270" s="54"/>
      <c r="F270" s="54"/>
      <c r="G270" s="54"/>
      <c r="H270" s="54"/>
      <c r="I270" s="54"/>
      <c r="J270" s="54"/>
      <c r="L270" s="39"/>
      <c r="M270" s="41"/>
      <c r="N270" s="41"/>
      <c r="O270" s="41"/>
      <c r="P270" s="41"/>
      <c r="Q270" s="41"/>
      <c r="R270" s="41"/>
      <c r="S270" s="41"/>
      <c r="T270" s="41"/>
    </row>
    <row r="271" spans="2:20" s="45" customFormat="1" ht="13.8" x14ac:dyDescent="0.3">
      <c r="B271" s="54"/>
      <c r="C271" s="54"/>
      <c r="D271" s="54"/>
      <c r="E271" s="54"/>
      <c r="F271" s="54"/>
      <c r="G271" s="54"/>
      <c r="H271" s="54"/>
      <c r="I271" s="54"/>
      <c r="J271" s="54"/>
      <c r="L271" s="39"/>
      <c r="M271" s="41"/>
      <c r="N271" s="41"/>
      <c r="O271" s="41"/>
      <c r="P271" s="41"/>
      <c r="Q271" s="41"/>
      <c r="R271" s="41"/>
      <c r="S271" s="41"/>
      <c r="T271" s="41"/>
    </row>
    <row r="272" spans="2:20" s="45" customFormat="1" ht="13.8" x14ac:dyDescent="0.3">
      <c r="B272" s="54"/>
      <c r="C272" s="54"/>
      <c r="D272" s="54"/>
      <c r="E272" s="54"/>
      <c r="F272" s="54"/>
      <c r="G272" s="54"/>
      <c r="H272" s="54"/>
      <c r="I272" s="54"/>
      <c r="J272" s="54"/>
      <c r="L272" s="39"/>
      <c r="M272" s="41"/>
      <c r="N272" s="41"/>
      <c r="O272" s="41"/>
      <c r="P272" s="41"/>
      <c r="Q272" s="41"/>
      <c r="R272" s="41"/>
      <c r="S272" s="41"/>
      <c r="T272" s="41"/>
    </row>
    <row r="273" spans="1:20" s="45" customFormat="1" ht="13.8" x14ac:dyDescent="0.3">
      <c r="B273" s="54"/>
      <c r="C273" s="54"/>
      <c r="D273" s="54"/>
      <c r="E273" s="54"/>
      <c r="F273" s="54"/>
      <c r="G273" s="54"/>
      <c r="H273" s="54"/>
      <c r="I273" s="54"/>
      <c r="J273" s="54"/>
      <c r="L273" s="39"/>
      <c r="M273" s="41"/>
      <c r="N273" s="41"/>
      <c r="O273" s="41"/>
      <c r="P273" s="41"/>
      <c r="Q273" s="41"/>
      <c r="R273" s="41"/>
      <c r="S273" s="41"/>
      <c r="T273" s="41"/>
    </row>
    <row r="274" spans="1:20" s="45" customFormat="1" ht="13.8" x14ac:dyDescent="0.3">
      <c r="B274" s="54"/>
      <c r="C274" s="54"/>
      <c r="D274" s="54"/>
      <c r="E274" s="54"/>
      <c r="F274" s="54"/>
      <c r="G274" s="54"/>
      <c r="H274" s="54"/>
      <c r="I274" s="54"/>
      <c r="J274" s="54"/>
      <c r="L274" s="39"/>
      <c r="M274" s="41"/>
      <c r="N274" s="41"/>
      <c r="O274" s="41"/>
      <c r="P274" s="41"/>
      <c r="Q274" s="41"/>
      <c r="R274" s="41"/>
      <c r="S274" s="41"/>
      <c r="T274" s="41"/>
    </row>
    <row r="275" spans="1:20" s="45" customFormat="1" ht="13.8" x14ac:dyDescent="0.3">
      <c r="B275" s="54"/>
      <c r="C275" s="54"/>
      <c r="D275" s="54"/>
      <c r="E275" s="54"/>
      <c r="F275" s="54"/>
      <c r="G275" s="54"/>
      <c r="H275" s="54"/>
      <c r="I275" s="54"/>
      <c r="J275" s="54"/>
      <c r="L275" s="39"/>
      <c r="M275" s="41"/>
      <c r="N275" s="41"/>
      <c r="O275" s="41"/>
      <c r="P275" s="41"/>
      <c r="Q275" s="41"/>
      <c r="R275" s="41"/>
      <c r="S275" s="41"/>
      <c r="T275" s="41"/>
    </row>
    <row r="276" spans="1:20" s="45" customFormat="1" ht="13.8" x14ac:dyDescent="0.3">
      <c r="B276" s="54"/>
      <c r="C276" s="54"/>
      <c r="D276" s="54"/>
      <c r="E276" s="54"/>
      <c r="F276" s="54"/>
      <c r="G276" s="54"/>
      <c r="H276" s="54"/>
      <c r="I276" s="54"/>
      <c r="J276" s="54"/>
      <c r="L276" s="39"/>
      <c r="M276" s="41"/>
      <c r="N276" s="41"/>
      <c r="O276" s="41"/>
      <c r="P276" s="41"/>
      <c r="Q276" s="41"/>
      <c r="R276" s="41"/>
      <c r="S276" s="41"/>
      <c r="T276" s="41"/>
    </row>
    <row r="277" spans="1:20" s="45" customFormat="1" ht="13.8" x14ac:dyDescent="0.3">
      <c r="B277" s="48"/>
      <c r="C277" s="39"/>
      <c r="L277" s="39"/>
      <c r="M277" s="41"/>
      <c r="N277" s="41"/>
      <c r="O277" s="41"/>
      <c r="P277" s="41"/>
      <c r="Q277" s="41"/>
      <c r="R277" s="41"/>
      <c r="S277" s="41"/>
      <c r="T277" s="41"/>
    </row>
    <row r="278" spans="1:20" s="45" customFormat="1" ht="13.8" x14ac:dyDescent="0.3">
      <c r="B278" s="48"/>
      <c r="C278" s="39"/>
      <c r="G278" s="39"/>
      <c r="H278" s="39"/>
      <c r="I278" s="39"/>
      <c r="J278" s="39"/>
      <c r="L278" s="39"/>
      <c r="M278" s="41"/>
      <c r="N278" s="41"/>
      <c r="O278" s="41"/>
      <c r="P278" s="41"/>
      <c r="Q278" s="41"/>
      <c r="R278" s="41"/>
      <c r="S278" s="41"/>
      <c r="T278" s="41"/>
    </row>
    <row r="279" spans="1:20" s="45" customFormat="1" ht="13.8" x14ac:dyDescent="0.3">
      <c r="L279" s="39"/>
      <c r="M279" s="41"/>
      <c r="N279" s="41"/>
      <c r="O279" s="41"/>
      <c r="P279" s="41"/>
      <c r="Q279" s="41"/>
      <c r="R279" s="41"/>
      <c r="S279" s="41"/>
      <c r="T279" s="41"/>
    </row>
    <row r="280" spans="1:20" s="45" customFormat="1" ht="13.8" x14ac:dyDescent="0.3">
      <c r="L280" s="39"/>
      <c r="M280" s="41"/>
      <c r="N280" s="41"/>
      <c r="O280" s="41"/>
      <c r="P280" s="41"/>
      <c r="Q280" s="41"/>
      <c r="R280" s="41"/>
      <c r="S280" s="41"/>
      <c r="T280" s="41"/>
    </row>
    <row r="281" spans="1:20" s="45" customFormat="1" ht="13.8" x14ac:dyDescent="0.3">
      <c r="A281" s="24"/>
      <c r="B281" s="19"/>
      <c r="C281" s="19"/>
      <c r="D281" s="19"/>
      <c r="E281" s="48" t="s">
        <v>72</v>
      </c>
      <c r="F281" s="49" t="str">
        <f>$B$1</f>
        <v>R. Abbott</v>
      </c>
      <c r="H281" s="50"/>
      <c r="I281" s="48" t="s">
        <v>78</v>
      </c>
      <c r="J281" s="51" t="str">
        <f>$E$2</f>
        <v>AA-SM-221</v>
      </c>
      <c r="K281" s="52"/>
      <c r="L281" s="39"/>
      <c r="M281" s="41"/>
      <c r="N281" s="41"/>
      <c r="O281" s="41"/>
      <c r="P281" s="41"/>
      <c r="Q281" s="41"/>
      <c r="R281" s="41"/>
      <c r="S281" s="41"/>
      <c r="T281" s="41"/>
    </row>
    <row r="282" spans="1:20" s="45" customFormat="1" ht="13.8" x14ac:dyDescent="0.3">
      <c r="A282" s="19"/>
      <c r="B282" s="19"/>
      <c r="C282" s="19"/>
      <c r="D282" s="19"/>
      <c r="E282" s="48" t="s">
        <v>74</v>
      </c>
      <c r="F282" s="50" t="str">
        <f>$B$2</f>
        <v xml:space="preserve"> </v>
      </c>
      <c r="H282" s="50"/>
      <c r="I282" s="48" t="s">
        <v>79</v>
      </c>
      <c r="J282" s="52" t="str">
        <f>$E$3</f>
        <v>A</v>
      </c>
      <c r="K282" s="52"/>
      <c r="L282" s="39"/>
      <c r="M282" s="41">
        <v>1</v>
      </c>
      <c r="N282" s="41"/>
      <c r="O282" s="41"/>
      <c r="P282" s="41"/>
      <c r="Q282" s="41"/>
      <c r="R282" s="41"/>
      <c r="S282" s="41"/>
      <c r="T282" s="41"/>
    </row>
    <row r="283" spans="1:20" s="45" customFormat="1" ht="13.8" x14ac:dyDescent="0.3">
      <c r="A283" s="19"/>
      <c r="B283" s="19"/>
      <c r="C283" s="19"/>
      <c r="D283" s="19"/>
      <c r="E283" s="48" t="s">
        <v>7</v>
      </c>
      <c r="F283" s="50" t="str">
        <f>$B$3</f>
        <v>Aug 2010</v>
      </c>
      <c r="H283" s="50"/>
      <c r="I283" s="48" t="s">
        <v>80</v>
      </c>
      <c r="J283" s="49" t="str">
        <f>$B$5&amp;L283&amp;" of "&amp;$B$5&amp;$E$1</f>
        <v>8 of 9</v>
      </c>
      <c r="K283" s="50"/>
      <c r="L283" s="39">
        <f>SUM($M$1:M282)</f>
        <v>8</v>
      </c>
      <c r="M283" s="41"/>
      <c r="N283" s="41"/>
      <c r="O283" s="41"/>
      <c r="P283" s="41"/>
      <c r="Q283" s="41"/>
      <c r="R283" s="41"/>
      <c r="S283" s="41"/>
      <c r="T283" s="41"/>
    </row>
    <row r="284" spans="1:20" s="45" customFormat="1" ht="13.8" x14ac:dyDescent="0.3">
      <c r="L284" s="39"/>
      <c r="M284" s="41"/>
      <c r="N284" s="41"/>
      <c r="O284" s="41"/>
      <c r="P284" s="41"/>
      <c r="Q284" s="41"/>
      <c r="R284" s="41"/>
      <c r="S284" s="41"/>
      <c r="T284" s="41"/>
    </row>
    <row r="285" spans="1:20" s="45" customFormat="1" ht="13.8" x14ac:dyDescent="0.3">
      <c r="I285" s="53"/>
      <c r="J285" s="49"/>
      <c r="L285" s="39"/>
      <c r="M285" s="41"/>
      <c r="N285" s="41"/>
      <c r="O285" s="41"/>
      <c r="P285" s="41"/>
      <c r="Q285" s="41"/>
      <c r="R285" s="41"/>
      <c r="S285" s="41"/>
      <c r="T285" s="41"/>
    </row>
    <row r="286" spans="1:20" x14ac:dyDescent="0.3">
      <c r="B286" s="38" t="str">
        <f>($B$4)&amp;".0 "&amp;$E$4</f>
        <v>3.0 GENERAL</v>
      </c>
    </row>
    <row r="287" spans="1:20" x14ac:dyDescent="0.3">
      <c r="B287" s="38" t="s">
        <v>28</v>
      </c>
    </row>
    <row r="288" spans="1:20" s="45" customFormat="1" ht="13.8" x14ac:dyDescent="0.3">
      <c r="B288" s="109" t="s">
        <v>172</v>
      </c>
      <c r="C288" s="109"/>
      <c r="D288" s="109"/>
      <c r="E288" s="109"/>
      <c r="F288" s="109"/>
      <c r="G288" s="109"/>
      <c r="H288" s="109"/>
      <c r="I288" s="109"/>
      <c r="J288" s="109"/>
      <c r="L288" s="39"/>
      <c r="M288" s="41"/>
      <c r="N288" s="41"/>
      <c r="O288" s="41"/>
      <c r="P288" s="41"/>
      <c r="Q288" s="41"/>
      <c r="R288" s="41"/>
      <c r="S288" s="41"/>
      <c r="T288" s="41"/>
    </row>
    <row r="289" spans="1:31" s="45" customFormat="1" ht="13.8" x14ac:dyDescent="0.3">
      <c r="B289" s="109"/>
      <c r="C289" s="109"/>
      <c r="D289" s="109"/>
      <c r="E289" s="109"/>
      <c r="F289" s="109"/>
      <c r="G289" s="109"/>
      <c r="H289" s="109"/>
      <c r="I289" s="109"/>
      <c r="J289" s="109"/>
      <c r="L289" s="39"/>
      <c r="M289" s="41"/>
      <c r="N289" s="41"/>
      <c r="O289" s="41"/>
      <c r="P289" s="41"/>
      <c r="Q289" s="41"/>
      <c r="R289" s="41"/>
      <c r="S289" s="41"/>
      <c r="T289" s="41"/>
    </row>
    <row r="290" spans="1:31" s="45" customFormat="1" ht="13.8" x14ac:dyDescent="0.3">
      <c r="B290" s="109" t="s">
        <v>109</v>
      </c>
      <c r="C290" s="109"/>
      <c r="D290" s="109"/>
      <c r="E290" s="109"/>
      <c r="F290" s="109"/>
      <c r="G290" s="109"/>
      <c r="H290" s="109"/>
      <c r="I290" s="109"/>
      <c r="J290" s="109"/>
      <c r="L290" s="39"/>
      <c r="M290" s="41"/>
      <c r="N290" s="41"/>
      <c r="O290" s="41"/>
      <c r="P290" s="41"/>
      <c r="Q290" s="41"/>
      <c r="R290" s="41"/>
      <c r="S290" s="41"/>
      <c r="T290" s="41"/>
    </row>
    <row r="291" spans="1:31" s="45" customFormat="1" ht="13.8" x14ac:dyDescent="0.3">
      <c r="B291" s="109"/>
      <c r="C291" s="109"/>
      <c r="D291" s="109"/>
      <c r="E291" s="109"/>
      <c r="F291" s="109"/>
      <c r="G291" s="109"/>
      <c r="H291" s="109"/>
      <c r="I291" s="109"/>
      <c r="J291" s="109"/>
      <c r="L291" s="39"/>
      <c r="M291" s="41"/>
      <c r="N291" s="41"/>
      <c r="O291" s="41"/>
      <c r="P291" s="41"/>
      <c r="Q291" s="41"/>
      <c r="R291" s="41"/>
      <c r="S291" s="41"/>
      <c r="T291" s="41"/>
    </row>
    <row r="292" spans="1:31" s="45" customFormat="1" ht="13.8" x14ac:dyDescent="0.3">
      <c r="B292" s="109" t="s">
        <v>119</v>
      </c>
      <c r="C292" s="109"/>
      <c r="D292" s="109"/>
      <c r="E292" s="109"/>
      <c r="F292" s="109"/>
      <c r="G292" s="109"/>
      <c r="H292" s="109"/>
      <c r="I292" s="109"/>
      <c r="J292" s="109"/>
      <c r="L292" s="39"/>
      <c r="M292" s="41"/>
      <c r="N292" s="41"/>
      <c r="O292" s="41"/>
      <c r="P292" s="41"/>
      <c r="Q292" s="41"/>
      <c r="R292" s="41"/>
      <c r="S292" s="41"/>
      <c r="T292" s="41"/>
    </row>
    <row r="293" spans="1:31" s="45" customFormat="1" ht="13.8" x14ac:dyDescent="0.3">
      <c r="B293" s="109"/>
      <c r="C293" s="109"/>
      <c r="D293" s="109"/>
      <c r="E293" s="109"/>
      <c r="F293" s="109"/>
      <c r="G293" s="109"/>
      <c r="H293" s="109"/>
      <c r="I293" s="109"/>
      <c r="J293" s="109"/>
      <c r="L293" s="39"/>
      <c r="M293" s="41"/>
      <c r="N293" s="41"/>
      <c r="O293" s="41"/>
      <c r="P293" s="41"/>
      <c r="Q293" s="41"/>
      <c r="R293" s="41"/>
      <c r="S293" s="41"/>
      <c r="T293" s="41"/>
    </row>
    <row r="294" spans="1:31" s="45" customFormat="1" ht="13.8" x14ac:dyDescent="0.3">
      <c r="J294" s="54"/>
      <c r="L294" s="39"/>
      <c r="M294" s="41"/>
      <c r="N294" s="41"/>
      <c r="O294" s="41"/>
      <c r="P294" s="41"/>
      <c r="Q294" s="41"/>
      <c r="R294" s="41"/>
      <c r="S294" s="41"/>
      <c r="T294" s="41"/>
      <c r="V294" s="71" t="s">
        <v>42</v>
      </c>
      <c r="W294" s="71">
        <v>4.2000000000000003E-2</v>
      </c>
      <c r="X294" s="71">
        <v>8.3000000000000004E-2</v>
      </c>
      <c r="Y294" s="71">
        <v>0.16700000000000001</v>
      </c>
      <c r="Z294" s="71">
        <v>0.33300000000000002</v>
      </c>
      <c r="AA294" s="71">
        <v>0.5</v>
      </c>
      <c r="AB294" s="71">
        <v>100</v>
      </c>
    </row>
    <row r="295" spans="1:31" s="45" customFormat="1" ht="13.8" x14ac:dyDescent="0.3">
      <c r="A295" s="54"/>
      <c r="B295" s="54"/>
      <c r="C295" s="71" t="s">
        <v>106</v>
      </c>
      <c r="D295" s="72" t="s">
        <v>110</v>
      </c>
      <c r="E295" s="72" t="s">
        <v>110</v>
      </c>
      <c r="F295" s="72" t="s">
        <v>110</v>
      </c>
      <c r="G295" s="72" t="s">
        <v>110</v>
      </c>
      <c r="H295" s="72" t="s">
        <v>110</v>
      </c>
      <c r="I295" s="72" t="s">
        <v>110</v>
      </c>
      <c r="J295" s="72" t="s">
        <v>110</v>
      </c>
      <c r="K295" s="72" t="s">
        <v>110</v>
      </c>
      <c r="L295" s="39"/>
      <c r="M295" s="41"/>
      <c r="N295" s="41"/>
      <c r="O295" s="41"/>
      <c r="P295" s="41"/>
      <c r="Q295" s="41"/>
      <c r="R295" s="41"/>
      <c r="S295" s="41"/>
      <c r="T295" s="41"/>
      <c r="V295" s="71" t="s">
        <v>54</v>
      </c>
      <c r="W295" s="71">
        <f>W294*$D$240</f>
        <v>0.42000000000000004</v>
      </c>
      <c r="X295" s="71">
        <f>X294*$D$240</f>
        <v>0.83000000000000007</v>
      </c>
      <c r="Y295" s="71">
        <f>Y294*$D$240</f>
        <v>1.6700000000000002</v>
      </c>
      <c r="Z295" s="71">
        <f>Z294*$D$240</f>
        <v>3.33</v>
      </c>
      <c r="AA295" s="71">
        <f>AA294*$D$240</f>
        <v>5</v>
      </c>
      <c r="AB295" s="71">
        <v>10</v>
      </c>
    </row>
    <row r="296" spans="1:31" s="45" customFormat="1" ht="13.8" x14ac:dyDescent="0.3">
      <c r="A296" s="54"/>
      <c r="B296" s="54"/>
      <c r="C296" s="71" t="s">
        <v>56</v>
      </c>
      <c r="D296" s="71" t="s">
        <v>57</v>
      </c>
      <c r="E296" s="71" t="s">
        <v>57</v>
      </c>
      <c r="F296" s="71" t="s">
        <v>57</v>
      </c>
      <c r="G296" s="71" t="s">
        <v>57</v>
      </c>
      <c r="H296" s="71" t="s">
        <v>57</v>
      </c>
      <c r="I296" s="71" t="s">
        <v>57</v>
      </c>
      <c r="J296" s="71" t="s">
        <v>57</v>
      </c>
      <c r="K296" s="71" t="s">
        <v>57</v>
      </c>
      <c r="L296" s="39"/>
      <c r="M296" s="41"/>
      <c r="N296" s="41"/>
      <c r="O296" s="41"/>
      <c r="P296" s="41"/>
      <c r="Q296" s="41"/>
      <c r="R296" s="41"/>
      <c r="S296" s="41"/>
      <c r="T296" s="41"/>
      <c r="U296" s="45">
        <v>0</v>
      </c>
      <c r="V296" s="71">
        <f>$D$239+U296</f>
        <v>5.1890000000000001</v>
      </c>
      <c r="W296" s="71">
        <f xml:space="preserve"> 0.0155*V296^2 + 0.2236*V296 + 0.5749</f>
        <v>2.1525090755000003</v>
      </c>
      <c r="X296" s="71">
        <f xml:space="preserve"> 0.0026*V296^2 + 0.1315*V296 + 0.5686</f>
        <v>1.3209603746</v>
      </c>
      <c r="Y296" s="71">
        <f xml:space="preserve"> 0.087*V296 + 0.5755</f>
        <v>1.0269429999999999</v>
      </c>
      <c r="Z296" s="71">
        <f xml:space="preserve"> 0.0641*V296 + 0.5634</f>
        <v>0.89601490000000006</v>
      </c>
      <c r="AA296" s="71">
        <f xml:space="preserve"> 0.0586*V296+ 0.5669</f>
        <v>0.87097539999999996</v>
      </c>
      <c r="AB296" s="71">
        <f xml:space="preserve"> 0.0509*V296 + 0.5391</f>
        <v>0.8032201000000001</v>
      </c>
    </row>
    <row r="297" spans="1:31" s="45" customFormat="1" ht="13.8" x14ac:dyDescent="0.3">
      <c r="A297" s="112" t="s">
        <v>21</v>
      </c>
      <c r="B297" s="112"/>
      <c r="C297" s="39" t="s">
        <v>107</v>
      </c>
      <c r="D297" s="39" t="s">
        <v>159</v>
      </c>
      <c r="E297" s="39" t="s">
        <v>112</v>
      </c>
      <c r="F297" s="39" t="s">
        <v>113</v>
      </c>
      <c r="G297" s="39" t="s">
        <v>114</v>
      </c>
      <c r="H297" s="39" t="s">
        <v>115</v>
      </c>
      <c r="I297" s="39" t="s">
        <v>116</v>
      </c>
      <c r="J297" s="39" t="s">
        <v>117</v>
      </c>
      <c r="K297" s="39" t="s">
        <v>118</v>
      </c>
      <c r="L297" s="39"/>
      <c r="M297" s="41"/>
      <c r="N297" s="41"/>
      <c r="O297" s="41"/>
      <c r="P297" s="41"/>
      <c r="Q297" s="41"/>
      <c r="R297" s="41"/>
      <c r="S297" s="41"/>
      <c r="T297" s="41"/>
    </row>
    <row r="298" spans="1:31" s="45" customFormat="1" ht="13.8" x14ac:dyDescent="0.3">
      <c r="A298" s="71" t="s">
        <v>55</v>
      </c>
      <c r="B298" s="71" t="s">
        <v>58</v>
      </c>
      <c r="C298" s="39" t="s">
        <v>108</v>
      </c>
      <c r="D298" s="71" t="s">
        <v>23</v>
      </c>
      <c r="E298" s="71" t="s">
        <v>23</v>
      </c>
      <c r="F298" s="71" t="s">
        <v>23</v>
      </c>
      <c r="G298" s="71" t="s">
        <v>23</v>
      </c>
      <c r="H298" s="71" t="s">
        <v>23</v>
      </c>
      <c r="I298" s="71" t="s">
        <v>23</v>
      </c>
      <c r="J298" s="71" t="s">
        <v>23</v>
      </c>
      <c r="K298" s="71" t="s">
        <v>23</v>
      </c>
      <c r="L298" s="39"/>
      <c r="M298" s="41"/>
      <c r="N298" s="41"/>
      <c r="O298" s="41"/>
      <c r="P298" s="41"/>
      <c r="Q298" s="41"/>
      <c r="R298" s="41"/>
      <c r="S298" s="41"/>
      <c r="T298" s="41"/>
      <c r="V298" s="71" t="s">
        <v>42</v>
      </c>
      <c r="W298" s="71">
        <v>4.2000000000000003E-2</v>
      </c>
      <c r="X298" s="71">
        <v>8.3000000000000004E-2</v>
      </c>
      <c r="Y298" s="71">
        <v>0.16700000000000001</v>
      </c>
      <c r="Z298" s="71">
        <v>0.33300000000000002</v>
      </c>
      <c r="AA298" s="71">
        <v>0.5</v>
      </c>
      <c r="AB298" s="71">
        <v>100</v>
      </c>
    </row>
    <row r="299" spans="1:31" s="45" customFormat="1" ht="13.8" x14ac:dyDescent="0.3">
      <c r="A299" s="71">
        <v>5</v>
      </c>
      <c r="B299" s="73">
        <f t="shared" ref="B299:B329" si="0">A299*0.681818182</f>
        <v>3.4090909099999998</v>
      </c>
      <c r="C299" s="74">
        <f t="shared" ref="C299:C329" si="1">AE299*$AD$299</f>
        <v>378.49593741271605</v>
      </c>
      <c r="D299" s="74" t="str">
        <f>IF($C299&gt;$W$296,"",IF($C299&gt;$X$296,(($C299-$X$296)/($W$296-$X$296)*($W$295-$X$295))+$X$295,IF($C299&gt;$Y$296,(($C299-$Y$296)/($X$296-$Y$296)*($X$295-$Y$295))+$Y$295,IF($C299&gt;$Z$296,(($C299-$Z$296)/($Y$296-$Z$296)*($Y$295-$Z$295))+$Z$295,IF($C299&gt;$AA$296,(($C299-$AA$296)/($Z$296-$AA$296)*($Z$295-$AA$295))+$AA$295,IF($C299&gt;$AB$296,(($C299-$AB$296)/($AA$296-$AB$296)*($AA$295-$AB$295))+$AB$295,""))))))</f>
        <v/>
      </c>
      <c r="E299" s="74" t="str">
        <f t="shared" ref="E299:E329" si="2">IF($C299&gt;$W$300,"",IF($C299&gt;$X$300,(($C299-$X$300)/($W$300-$X$300)*($W$299-$X$299))+$X$299,IF($C299&gt;$Y$300,(($C299-$Y$300)/($X$300-$Y$300)*($X$299-$Y$299))+$Y$299,IF($C299&gt;$Z$300,(($C299-$Z$300)/($Y$300-$Z$300)*($Y$299-$Z$299))+$Z$299,IF($C299&gt;$AA$300,(($C299-$AA$300)/($Z$300-$AA$300)*($Z$299-$AA$299))+$AA$299,IF($C299&gt;$AB$300,(($C299-$AB$300)/($AA$300-$AB$300)*($AA$299-$AB$299))+$AB$299,""))))))</f>
        <v/>
      </c>
      <c r="F299" s="74" t="str">
        <f t="shared" ref="F299:F329" si="3">IF($C299&gt;$W$304,"",IF($C299&gt;$X$304,(($C299-$X$304)/($W$304-$X$304)*($W$303-$X$303))+$X$303,IF($C299&gt;$Y$304,(($C299-$Y$304)/($X$304-$Y$304)*($X$303-$Y$303))+$Y$303,IF($C299&gt;$Z$304,(($C299-$Z$304)/($Y$304-$Z$304)*($Y$303-$Z$303))+$Z$303,IF($C299&gt;$AA$304,(($C299-$AA$304)/($Z$304-$AA$304)*($Z$303-$AA$303))+$AA$303,IF($C299&gt;$AB$304,(($C299-$AB$304)/($AA$304-$AB$304)*($AA$303-$AB$303))+$AB$303,""))))))</f>
        <v/>
      </c>
      <c r="G299" s="74" t="str">
        <f t="shared" ref="G299:G329" si="4">IF($C299&gt;$W$308,"",IF($C299&gt;$X$308,(($C299-$X$308)/($W$308-$X$308)*($W$307-$X$307))+$X$307,IF($C299&gt;$Y$308,(($C299-$Y$308)/($X$308-$Y$308)*($X$307-$Y$307))+$Y$307,IF($C299&gt;$Z$308,(($C299-$Z$308)/($Y$308-$Z$308)*($Y$307-$Z$307))+$Z$307,IF($C299&gt;$AA$308,(($C299-$AA$308)/($Z$308-$AA$308)*($Z$307-$AA$307))+$AA$307,IF($C299&gt;$AB$308,(($C299-$AB$308)/($AA$308-$AB$308)*($AA$307-$AB$307))+$AB$307,""))))))</f>
        <v/>
      </c>
      <c r="H299" s="74" t="str">
        <f t="shared" ref="H299:H329" si="5">IF($C299&gt;$W$312,"",IF($C299&gt;$X$312,(($C299-$X$312)/($W$312-$X$312)*($W$311-$X$311))+$X$311,IF($C299&gt;$Y$312,(($C299-$Y$312)/($X$312-$Y$312)*($X$311-$Y$311))+$Y$311,IF($C299&gt;$Z$312,(($C299-$Z$312)/($Y$312-$Z$312)*($Y$311-$Z$311))+$Z$311,IF($C299&gt;$AA$312,(($C299-$AA$312)/($Z$312-$AA$312)*($Z$311-$AA$311))+$AA$311,IF($C299&gt;$AB$312,(($C299-$AB$312)/($AA$312-$AB$312)*($AA$311-$AB$311))+$AB$311,""))))))</f>
        <v/>
      </c>
      <c r="I299" s="74" t="str">
        <f t="shared" ref="I299:I329" si="6">IF($C299&gt;$W$316,"",IF($C299&gt;$X$316,(($C299-$X$316)/($W$316-$X$316)*($W$315-$X$315))+$X$315,IF($C299&gt;$Y$316,(($C299-$Y$316)/($X$316-$Y$316)*($X$315-$Y$315))+$Y$315,IF($C299&gt;$Z$316,(($C299-$Z$316)/($Y$316-$Z$316)*($Y$315-$Z$315))+$Z$315,IF($C299&gt;$AA$316,(($C299-$AA$316)/($Z$316-$AA$316)*($Z$315-$AA$315))+$AA$315,IF($C299&gt;$AB$316,(($C299-$AB$316)/($AA$316-$AB$316)*($AA$315-$AB$315))+$AB$315,""))))))</f>
        <v/>
      </c>
      <c r="J299" s="74" t="str">
        <f t="shared" ref="J299:J329" si="7">IF($C299&gt;$W$320,"",IF($C299&gt;$X$320,(($C299-$X$320)/($W$320-$X$320)*($W$319-$X$319))+$X$319,IF($C299&gt;$Y$320,(($C299-$Y$320)/($X$320-$Y$320)*($X$319-$Y$319))+$Y$319,IF($C299&gt;$Z$320,(($C299-$Z$320)/($Y$320-$Z$320)*($Y$319-$Z$319))+$Z$319,IF($C299&gt;$AA$320,(($C299-$AA$320)/($Z$320-$AA$320)*($Z$319-$AA$319))+$AA$319,IF($C299&gt;$AB$320,(($C299-$AB$320)/($AA$320-$AB$320)*($AA$319-$AB$319))+$AB$319,""))))))</f>
        <v/>
      </c>
      <c r="K299" s="74" t="str">
        <f t="shared" ref="K299:K329" si="8">IF($C299&gt;$W$324,"",IF($C299&gt;$X$324,(($C299-$X$324)/($W$324-$X$324)*($W$323-$X$323))+$X$323,IF($C299&gt;$Y$324,(($C299-$Y$324)/($X$324-$Y$324)*($X$323-$Y$323))+$Y$323,IF($C299&gt;$Z$324,(($C299-$Z$324)/($Y$324-$Z$324)*($Y$323-$Z$323))+$Z$323,IF($C299&gt;$AA$324,(($C299-$AA$324)/($Z$324-$AA$324)*($Z$323-$AA$323))+$AA$323,IF($C299&gt;$AB$324,(($C299-$AB$324)/($AA$324-$AB$324)*($AA$323-$AB$323))+$AB$323,""))))))</f>
        <v/>
      </c>
      <c r="L299" s="39"/>
      <c r="M299" s="41"/>
      <c r="N299" s="41"/>
      <c r="O299" s="41"/>
      <c r="P299" s="41"/>
      <c r="Q299" s="41"/>
      <c r="R299" s="41"/>
      <c r="S299" s="41"/>
      <c r="T299" s="41"/>
      <c r="V299" s="71" t="s">
        <v>54</v>
      </c>
      <c r="W299" s="71">
        <f>W298*$D$240</f>
        <v>0.42000000000000004</v>
      </c>
      <c r="X299" s="71">
        <f>X298*$D$240</f>
        <v>0.83000000000000007</v>
      </c>
      <c r="Y299" s="71">
        <f>Y298*$D$240</f>
        <v>1.6700000000000002</v>
      </c>
      <c r="Z299" s="71">
        <f>Z298*$D$240</f>
        <v>3.33</v>
      </c>
      <c r="AA299" s="71">
        <f>AA298*$D$240</f>
        <v>5</v>
      </c>
      <c r="AB299" s="71">
        <v>10</v>
      </c>
      <c r="AD299" s="45">
        <v>1</v>
      </c>
      <c r="AE299" s="45">
        <f>$D$237/(0.5*$C$251*A299^2*$D$238)</f>
        <v>378.49593741271605</v>
      </c>
    </row>
    <row r="300" spans="1:31" s="45" customFormat="1" ht="13.8" x14ac:dyDescent="0.3">
      <c r="A300" s="71">
        <v>10</v>
      </c>
      <c r="B300" s="73">
        <f t="shared" si="0"/>
        <v>6.8181818199999995</v>
      </c>
      <c r="C300" s="74">
        <f t="shared" si="1"/>
        <v>94.623984353179011</v>
      </c>
      <c r="D300" s="74" t="str">
        <f t="shared" ref="D300:D329" si="9">IF($C300&gt;$W$296,"",IF($C300&gt;$X$296,(($C300-$X$296)/($W$296-$X$296)*($W$295-$X$295))+$X$295,IF($C300&gt;$Y$296,(($C300-$Y$296)/($X$296-$Y$296)*($X$295-$Y$295))+$Y$295,IF($C300&gt;$Z$296,(($C300-$Z$296)/($Y$296-$Z$296)*($Y$295-$Z$295))+$Z$295,IF($C300&gt;$AA$296,(($C300-$AA$296)/($Z$296-$AA$296)*($Z$295-$AA$295))+$AA$295,IF($C300&gt;$AB$296,(($C300-$AB$296)/($AA$296-$AB$296)*($AA$295-$AB$295))+$AB$295,""))))))</f>
        <v/>
      </c>
      <c r="E300" s="74" t="str">
        <f t="shared" si="2"/>
        <v/>
      </c>
      <c r="F300" s="74" t="str">
        <f t="shared" si="3"/>
        <v/>
      </c>
      <c r="G300" s="74" t="str">
        <f t="shared" si="4"/>
        <v/>
      </c>
      <c r="H300" s="74" t="str">
        <f t="shared" si="5"/>
        <v/>
      </c>
      <c r="I300" s="74" t="str">
        <f t="shared" si="6"/>
        <v/>
      </c>
      <c r="J300" s="74" t="str">
        <f t="shared" si="7"/>
        <v/>
      </c>
      <c r="K300" s="74" t="str">
        <f t="shared" si="8"/>
        <v/>
      </c>
      <c r="L300" s="39"/>
      <c r="M300" s="41"/>
      <c r="N300" s="41"/>
      <c r="O300" s="41"/>
      <c r="P300" s="41"/>
      <c r="Q300" s="41"/>
      <c r="R300" s="41"/>
      <c r="S300" s="41"/>
      <c r="T300" s="41"/>
      <c r="U300" s="45">
        <v>1</v>
      </c>
      <c r="V300" s="71">
        <f>$D$239+U300</f>
        <v>6.1890000000000001</v>
      </c>
      <c r="W300" s="71">
        <f xml:space="preserve"> 0.0155*V300^2 + 0.2236*V300 + 0.5749</f>
        <v>2.5524680754999998</v>
      </c>
      <c r="X300" s="71">
        <f xml:space="preserve"> 0.0026*V300^2 + 0.1315*V300 + 0.5686</f>
        <v>1.4820431746</v>
      </c>
      <c r="Y300" s="71">
        <f xml:space="preserve"> 0.087*V300 + 0.5755</f>
        <v>1.1139429999999999</v>
      </c>
      <c r="Z300" s="71">
        <f xml:space="preserve"> 0.0641*V300 + 0.5634</f>
        <v>0.96011489999999999</v>
      </c>
      <c r="AA300" s="71">
        <f xml:space="preserve"> 0.0586*V300+ 0.5669</f>
        <v>0.92957539999999994</v>
      </c>
      <c r="AB300" s="71">
        <f xml:space="preserve"> 0.0509*V300 + 0.5391</f>
        <v>0.85412010000000005</v>
      </c>
      <c r="AE300" s="45">
        <f t="shared" ref="AE300:AE329" si="10">$D$237/(0.5*$C$251*A300^2*$D$238)</f>
        <v>94.623984353179011</v>
      </c>
    </row>
    <row r="301" spans="1:31" s="45" customFormat="1" ht="13.8" x14ac:dyDescent="0.3">
      <c r="A301" s="71">
        <v>15</v>
      </c>
      <c r="B301" s="73">
        <f t="shared" si="0"/>
        <v>10.227272729999999</v>
      </c>
      <c r="C301" s="74">
        <f t="shared" si="1"/>
        <v>42.055104156968447</v>
      </c>
      <c r="D301" s="74" t="str">
        <f t="shared" si="9"/>
        <v/>
      </c>
      <c r="E301" s="74" t="str">
        <f t="shared" si="2"/>
        <v/>
      </c>
      <c r="F301" s="74" t="str">
        <f t="shared" si="3"/>
        <v/>
      </c>
      <c r="G301" s="74" t="str">
        <f t="shared" si="4"/>
        <v/>
      </c>
      <c r="H301" s="74" t="str">
        <f t="shared" si="5"/>
        <v/>
      </c>
      <c r="I301" s="74" t="str">
        <f t="shared" si="6"/>
        <v/>
      </c>
      <c r="J301" s="74" t="str">
        <f t="shared" si="7"/>
        <v/>
      </c>
      <c r="K301" s="74" t="str">
        <f t="shared" si="8"/>
        <v/>
      </c>
      <c r="L301" s="39"/>
      <c r="M301" s="41"/>
      <c r="N301" s="41"/>
      <c r="O301" s="41"/>
      <c r="P301" s="41"/>
      <c r="Q301" s="41"/>
      <c r="R301" s="41"/>
      <c r="S301" s="41"/>
      <c r="T301" s="41"/>
      <c r="AE301" s="45">
        <f t="shared" si="10"/>
        <v>42.055104156968447</v>
      </c>
    </row>
    <row r="302" spans="1:31" s="45" customFormat="1" ht="13.8" x14ac:dyDescent="0.3">
      <c r="A302" s="71">
        <v>20</v>
      </c>
      <c r="B302" s="73">
        <f t="shared" si="0"/>
        <v>13.636363639999999</v>
      </c>
      <c r="C302" s="74">
        <f t="shared" si="1"/>
        <v>23.655996088294753</v>
      </c>
      <c r="D302" s="74" t="str">
        <f t="shared" si="9"/>
        <v/>
      </c>
      <c r="E302" s="74" t="str">
        <f t="shared" si="2"/>
        <v/>
      </c>
      <c r="F302" s="74" t="str">
        <f t="shared" si="3"/>
        <v/>
      </c>
      <c r="G302" s="74" t="str">
        <f t="shared" si="4"/>
        <v/>
      </c>
      <c r="H302" s="74" t="str">
        <f t="shared" si="5"/>
        <v/>
      </c>
      <c r="I302" s="74" t="str">
        <f t="shared" si="6"/>
        <v/>
      </c>
      <c r="J302" s="74" t="str">
        <f t="shared" si="7"/>
        <v/>
      </c>
      <c r="K302" s="74" t="str">
        <f t="shared" si="8"/>
        <v/>
      </c>
      <c r="L302" s="39"/>
      <c r="M302" s="41"/>
      <c r="N302" s="41"/>
      <c r="O302" s="41"/>
      <c r="P302" s="41"/>
      <c r="Q302" s="41"/>
      <c r="R302" s="41"/>
      <c r="S302" s="41"/>
      <c r="T302" s="41"/>
      <c r="V302" s="71" t="s">
        <v>42</v>
      </c>
      <c r="W302" s="71">
        <v>4.2000000000000003E-2</v>
      </c>
      <c r="X302" s="71">
        <v>8.3000000000000004E-2</v>
      </c>
      <c r="Y302" s="71">
        <v>0.16700000000000001</v>
      </c>
      <c r="Z302" s="71">
        <v>0.33300000000000002</v>
      </c>
      <c r="AA302" s="71">
        <v>0.5</v>
      </c>
      <c r="AB302" s="71">
        <v>100</v>
      </c>
      <c r="AE302" s="45">
        <f t="shared" si="10"/>
        <v>23.655996088294753</v>
      </c>
    </row>
    <row r="303" spans="1:31" s="45" customFormat="1" ht="13.8" x14ac:dyDescent="0.3">
      <c r="A303" s="71">
        <v>25</v>
      </c>
      <c r="B303" s="73">
        <f t="shared" si="0"/>
        <v>17.045454549999999</v>
      </c>
      <c r="C303" s="74">
        <f t="shared" si="1"/>
        <v>15.139837496508644</v>
      </c>
      <c r="D303" s="74" t="str">
        <f t="shared" si="9"/>
        <v/>
      </c>
      <c r="E303" s="74" t="str">
        <f t="shared" si="2"/>
        <v/>
      </c>
      <c r="F303" s="74" t="str">
        <f t="shared" si="3"/>
        <v/>
      </c>
      <c r="G303" s="74" t="str">
        <f t="shared" si="4"/>
        <v/>
      </c>
      <c r="H303" s="74" t="str">
        <f t="shared" si="5"/>
        <v/>
      </c>
      <c r="I303" s="74" t="str">
        <f t="shared" si="6"/>
        <v/>
      </c>
      <c r="J303" s="74" t="str">
        <f t="shared" si="7"/>
        <v/>
      </c>
      <c r="K303" s="74" t="str">
        <f t="shared" si="8"/>
        <v/>
      </c>
      <c r="L303" s="39"/>
      <c r="M303" s="41"/>
      <c r="N303" s="41"/>
      <c r="O303" s="41"/>
      <c r="P303" s="41"/>
      <c r="Q303" s="41"/>
      <c r="R303" s="41"/>
      <c r="S303" s="41"/>
      <c r="T303" s="41"/>
      <c r="V303" s="71" t="s">
        <v>54</v>
      </c>
      <c r="W303" s="71">
        <f>W302*$D$240</f>
        <v>0.42000000000000004</v>
      </c>
      <c r="X303" s="71">
        <f>X302*$D$240</f>
        <v>0.83000000000000007</v>
      </c>
      <c r="Y303" s="71">
        <f>Y302*$D$240</f>
        <v>1.6700000000000002</v>
      </c>
      <c r="Z303" s="71">
        <f>Z302*$D$240</f>
        <v>3.33</v>
      </c>
      <c r="AA303" s="71">
        <f>AA302*$D$240</f>
        <v>5</v>
      </c>
      <c r="AB303" s="71">
        <v>10</v>
      </c>
      <c r="AE303" s="45">
        <f t="shared" si="10"/>
        <v>15.139837496508644</v>
      </c>
    </row>
    <row r="304" spans="1:31" s="45" customFormat="1" ht="13.8" x14ac:dyDescent="0.3">
      <c r="A304" s="71">
        <v>30</v>
      </c>
      <c r="B304" s="73">
        <f t="shared" si="0"/>
        <v>20.454545459999999</v>
      </c>
      <c r="C304" s="74">
        <f t="shared" si="1"/>
        <v>10.513776039242112</v>
      </c>
      <c r="D304" s="74" t="str">
        <f t="shared" si="9"/>
        <v/>
      </c>
      <c r="E304" s="74" t="str">
        <f t="shared" si="2"/>
        <v/>
      </c>
      <c r="F304" s="74" t="str">
        <f t="shared" si="3"/>
        <v/>
      </c>
      <c r="G304" s="74" t="str">
        <f t="shared" si="4"/>
        <v/>
      </c>
      <c r="H304" s="74" t="str">
        <f t="shared" si="5"/>
        <v/>
      </c>
      <c r="I304" s="74" t="str">
        <f t="shared" si="6"/>
        <v/>
      </c>
      <c r="J304" s="74" t="str">
        <f t="shared" si="7"/>
        <v/>
      </c>
      <c r="K304" s="74" t="str">
        <f t="shared" si="8"/>
        <v/>
      </c>
      <c r="L304" s="39"/>
      <c r="M304" s="41"/>
      <c r="N304" s="41"/>
      <c r="O304" s="41"/>
      <c r="P304" s="41"/>
      <c r="Q304" s="41"/>
      <c r="R304" s="41"/>
      <c r="S304" s="41"/>
      <c r="T304" s="41"/>
      <c r="U304" s="45">
        <v>2</v>
      </c>
      <c r="V304" s="71">
        <f>$D$239+U304</f>
        <v>7.1890000000000001</v>
      </c>
      <c r="W304" s="71">
        <f xml:space="preserve"> 0.0155*V304^2 + 0.2236*V304 + 0.5749</f>
        <v>2.9834270754999999</v>
      </c>
      <c r="X304" s="71">
        <f xml:space="preserve"> 0.0026*V304^2 + 0.1315*V304 + 0.5686</f>
        <v>1.6483259746000001</v>
      </c>
      <c r="Y304" s="71">
        <f xml:space="preserve"> 0.087*V304 + 0.5755</f>
        <v>1.2009430000000001</v>
      </c>
      <c r="Z304" s="71">
        <f xml:space="preserve"> 0.0641*V304 + 0.5634</f>
        <v>1.0242149</v>
      </c>
      <c r="AA304" s="71">
        <f xml:space="preserve"> 0.0586*V304+ 0.5669</f>
        <v>0.98817540000000004</v>
      </c>
      <c r="AB304" s="71">
        <f xml:space="preserve"> 0.0509*V304 + 0.5391</f>
        <v>0.90502009999999999</v>
      </c>
      <c r="AE304" s="45">
        <f t="shared" si="10"/>
        <v>10.513776039242112</v>
      </c>
    </row>
    <row r="305" spans="1:31" s="45" customFormat="1" ht="13.8" x14ac:dyDescent="0.3">
      <c r="A305" s="71">
        <v>35</v>
      </c>
      <c r="B305" s="73">
        <f t="shared" si="0"/>
        <v>23.863636369999998</v>
      </c>
      <c r="C305" s="74">
        <f t="shared" si="1"/>
        <v>7.7244068859737975</v>
      </c>
      <c r="D305" s="74" t="str">
        <f t="shared" si="9"/>
        <v/>
      </c>
      <c r="E305" s="74" t="str">
        <f t="shared" si="2"/>
        <v/>
      </c>
      <c r="F305" s="74" t="str">
        <f t="shared" si="3"/>
        <v/>
      </c>
      <c r="G305" s="74" t="str">
        <f t="shared" si="4"/>
        <v/>
      </c>
      <c r="H305" s="74" t="str">
        <f t="shared" si="5"/>
        <v/>
      </c>
      <c r="I305" s="74" t="str">
        <f t="shared" si="6"/>
        <v/>
      </c>
      <c r="J305" s="74" t="str">
        <f t="shared" si="7"/>
        <v/>
      </c>
      <c r="K305" s="74" t="str">
        <f t="shared" si="8"/>
        <v/>
      </c>
      <c r="L305" s="39"/>
      <c r="M305" s="41"/>
      <c r="N305" s="41"/>
      <c r="O305" s="41"/>
      <c r="P305" s="41"/>
      <c r="Q305" s="41"/>
      <c r="R305" s="41"/>
      <c r="S305" s="41"/>
      <c r="T305" s="41"/>
      <c r="AE305" s="45">
        <f t="shared" si="10"/>
        <v>7.7244068859737975</v>
      </c>
    </row>
    <row r="306" spans="1:31" s="45" customFormat="1" ht="13.8" x14ac:dyDescent="0.3">
      <c r="A306" s="71">
        <v>40</v>
      </c>
      <c r="B306" s="73">
        <f t="shared" si="0"/>
        <v>27.272727279999998</v>
      </c>
      <c r="C306" s="74">
        <f t="shared" si="1"/>
        <v>5.9139990220736882</v>
      </c>
      <c r="D306" s="74" t="str">
        <f t="shared" si="9"/>
        <v/>
      </c>
      <c r="E306" s="74" t="str">
        <f t="shared" si="2"/>
        <v/>
      </c>
      <c r="F306" s="74" t="str">
        <f t="shared" si="3"/>
        <v/>
      </c>
      <c r="G306" s="74" t="str">
        <f t="shared" si="4"/>
        <v/>
      </c>
      <c r="H306" s="74" t="str">
        <f t="shared" si="5"/>
        <v/>
      </c>
      <c r="I306" s="74" t="str">
        <f t="shared" si="6"/>
        <v/>
      </c>
      <c r="J306" s="74" t="str">
        <f t="shared" si="7"/>
        <v/>
      </c>
      <c r="K306" s="74" t="str">
        <f t="shared" si="8"/>
        <v/>
      </c>
      <c r="L306" s="39"/>
      <c r="M306" s="41"/>
      <c r="N306" s="41"/>
      <c r="O306" s="41"/>
      <c r="P306" s="41"/>
      <c r="Q306" s="41"/>
      <c r="R306" s="41"/>
      <c r="S306" s="41"/>
      <c r="T306" s="41"/>
      <c r="V306" s="71" t="s">
        <v>42</v>
      </c>
      <c r="W306" s="71">
        <v>4.2000000000000003E-2</v>
      </c>
      <c r="X306" s="71">
        <v>8.3000000000000004E-2</v>
      </c>
      <c r="Y306" s="71">
        <v>0.16700000000000001</v>
      </c>
      <c r="Z306" s="71">
        <v>0.33300000000000002</v>
      </c>
      <c r="AA306" s="71">
        <v>0.5</v>
      </c>
      <c r="AB306" s="71">
        <v>100</v>
      </c>
      <c r="AE306" s="45">
        <f t="shared" si="10"/>
        <v>5.9139990220736882</v>
      </c>
    </row>
    <row r="307" spans="1:31" s="45" customFormat="1" ht="13.8" x14ac:dyDescent="0.3">
      <c r="A307" s="71">
        <v>45</v>
      </c>
      <c r="B307" s="73">
        <f t="shared" si="0"/>
        <v>30.681818190000001</v>
      </c>
      <c r="C307" s="74">
        <f t="shared" si="1"/>
        <v>4.6727893507742726</v>
      </c>
      <c r="D307" s="74" t="str">
        <f t="shared" si="9"/>
        <v/>
      </c>
      <c r="E307" s="74" t="str">
        <f t="shared" si="2"/>
        <v/>
      </c>
      <c r="F307" s="74" t="str">
        <f t="shared" si="3"/>
        <v/>
      </c>
      <c r="G307" s="74" t="str">
        <f t="shared" si="4"/>
        <v/>
      </c>
      <c r="H307" s="74" t="str">
        <f t="shared" si="5"/>
        <v/>
      </c>
      <c r="I307" s="74" t="str">
        <f t="shared" si="6"/>
        <v/>
      </c>
      <c r="J307" s="74">
        <f t="shared" si="7"/>
        <v>0.47325963981361319</v>
      </c>
      <c r="K307" s="74">
        <f t="shared" si="8"/>
        <v>0.54526010808758785</v>
      </c>
      <c r="L307" s="39"/>
      <c r="M307" s="41"/>
      <c r="N307" s="41"/>
      <c r="O307" s="41"/>
      <c r="P307" s="41"/>
      <c r="Q307" s="41"/>
      <c r="R307" s="41"/>
      <c r="S307" s="41"/>
      <c r="T307" s="41"/>
      <c r="V307" s="71" t="s">
        <v>54</v>
      </c>
      <c r="W307" s="71">
        <f>W306*$D$240</f>
        <v>0.42000000000000004</v>
      </c>
      <c r="X307" s="71">
        <f>X306*$D$240</f>
        <v>0.83000000000000007</v>
      </c>
      <c r="Y307" s="71">
        <f>Y306*$D$240</f>
        <v>1.6700000000000002</v>
      </c>
      <c r="Z307" s="71">
        <f>Z306*$D$240</f>
        <v>3.33</v>
      </c>
      <c r="AA307" s="71">
        <f>AA306*$D$240</f>
        <v>5</v>
      </c>
      <c r="AB307" s="71">
        <v>10</v>
      </c>
      <c r="AE307" s="45">
        <f t="shared" si="10"/>
        <v>4.6727893507742726</v>
      </c>
    </row>
    <row r="308" spans="1:31" s="45" customFormat="1" ht="13.8" x14ac:dyDescent="0.3">
      <c r="A308" s="71">
        <v>50</v>
      </c>
      <c r="B308" s="73">
        <f t="shared" si="0"/>
        <v>34.090909099999998</v>
      </c>
      <c r="C308" s="74">
        <f t="shared" si="1"/>
        <v>3.784959374127161</v>
      </c>
      <c r="D308" s="74" t="str">
        <f t="shared" si="9"/>
        <v/>
      </c>
      <c r="E308" s="74" t="str">
        <f t="shared" si="2"/>
        <v/>
      </c>
      <c r="F308" s="74" t="str">
        <f t="shared" si="3"/>
        <v/>
      </c>
      <c r="G308" s="74" t="str">
        <f t="shared" si="4"/>
        <v/>
      </c>
      <c r="H308" s="74">
        <f t="shared" si="5"/>
        <v>0.45238562411310473</v>
      </c>
      <c r="I308" s="74">
        <f t="shared" si="6"/>
        <v>0.54159364075585592</v>
      </c>
      <c r="J308" s="74">
        <f t="shared" si="7"/>
        <v>0.61052846869048305</v>
      </c>
      <c r="K308" s="74">
        <f t="shared" si="8"/>
        <v>0.66478479362678167</v>
      </c>
      <c r="L308" s="39"/>
      <c r="M308" s="41"/>
      <c r="N308" s="41"/>
      <c r="O308" s="41"/>
      <c r="P308" s="41"/>
      <c r="Q308" s="41"/>
      <c r="R308" s="41"/>
      <c r="S308" s="41"/>
      <c r="T308" s="41"/>
      <c r="U308" s="45">
        <v>3</v>
      </c>
      <c r="V308" s="71">
        <f>$D$239+U308</f>
        <v>8.1890000000000001</v>
      </c>
      <c r="W308" s="71">
        <f xml:space="preserve"> 0.0155*V308^2 + 0.2236*V308 + 0.5749</f>
        <v>3.4453860754999996</v>
      </c>
      <c r="X308" s="71">
        <f xml:space="preserve"> 0.0026*V308^2 + 0.1315*V308 + 0.5686</f>
        <v>1.8198087746</v>
      </c>
      <c r="Y308" s="71">
        <f xml:space="preserve"> 0.087*V308 + 0.5755</f>
        <v>1.2879429999999998</v>
      </c>
      <c r="Z308" s="71">
        <f xml:space="preserve"> 0.0641*V308 + 0.5634</f>
        <v>1.0883149000000001</v>
      </c>
      <c r="AA308" s="71">
        <f xml:space="preserve"> 0.0586*V308+ 0.5669</f>
        <v>1.0467754</v>
      </c>
      <c r="AB308" s="71">
        <f xml:space="preserve"> 0.0509*V308 + 0.5391</f>
        <v>0.95592010000000005</v>
      </c>
      <c r="AE308" s="45">
        <f t="shared" si="10"/>
        <v>3.784959374127161</v>
      </c>
    </row>
    <row r="309" spans="1:31" s="45" customFormat="1" ht="13.8" x14ac:dyDescent="0.3">
      <c r="A309" s="71">
        <v>55</v>
      </c>
      <c r="B309" s="73">
        <f t="shared" si="0"/>
        <v>37.500000010000001</v>
      </c>
      <c r="C309" s="74">
        <f t="shared" si="1"/>
        <v>3.1280655984521988</v>
      </c>
      <c r="D309" s="74" t="str">
        <f t="shared" si="9"/>
        <v/>
      </c>
      <c r="E309" s="74" t="str">
        <f t="shared" si="2"/>
        <v/>
      </c>
      <c r="F309" s="74" t="str">
        <f t="shared" si="3"/>
        <v/>
      </c>
      <c r="G309" s="74">
        <f t="shared" si="4"/>
        <v>0.50003396425231084</v>
      </c>
      <c r="H309" s="74">
        <f t="shared" si="5"/>
        <v>0.59108117859335185</v>
      </c>
      <c r="I309" s="74">
        <f t="shared" si="6"/>
        <v>0.65951603036382167</v>
      </c>
      <c r="J309" s="74">
        <f t="shared" si="7"/>
        <v>0.71209187796388718</v>
      </c>
      <c r="K309" s="74">
        <f t="shared" si="8"/>
        <v>0.75321954356247933</v>
      </c>
      <c r="L309" s="39"/>
      <c r="M309" s="41"/>
      <c r="N309" s="41"/>
      <c r="O309" s="41"/>
      <c r="P309" s="41"/>
      <c r="Q309" s="41"/>
      <c r="R309" s="41"/>
      <c r="S309" s="41"/>
      <c r="T309" s="41"/>
      <c r="AE309" s="45">
        <f t="shared" si="10"/>
        <v>3.1280655984521988</v>
      </c>
    </row>
    <row r="310" spans="1:31" s="45" customFormat="1" ht="13.8" x14ac:dyDescent="0.3">
      <c r="A310" s="71">
        <v>60</v>
      </c>
      <c r="B310" s="73">
        <f t="shared" si="0"/>
        <v>40.909090919999997</v>
      </c>
      <c r="C310" s="74">
        <f t="shared" si="1"/>
        <v>2.6284440098105279</v>
      </c>
      <c r="D310" s="74" t="str">
        <f t="shared" si="9"/>
        <v/>
      </c>
      <c r="E310" s="74" t="str">
        <f t="shared" si="2"/>
        <v/>
      </c>
      <c r="F310" s="74">
        <f t="shared" si="3"/>
        <v>0.5290127607823647</v>
      </c>
      <c r="G310" s="74">
        <f t="shared" si="4"/>
        <v>0.6260475664536167</v>
      </c>
      <c r="H310" s="74">
        <f t="shared" si="5"/>
        <v>0.69657052227872507</v>
      </c>
      <c r="I310" s="74">
        <f t="shared" si="6"/>
        <v>0.74920567854448339</v>
      </c>
      <c r="J310" s="74">
        <f t="shared" si="7"/>
        <v>0.78933917999061631</v>
      </c>
      <c r="K310" s="74">
        <f t="shared" si="8"/>
        <v>0.82048142347388953</v>
      </c>
      <c r="L310" s="39"/>
      <c r="M310" s="41"/>
      <c r="N310" s="41"/>
      <c r="O310" s="41"/>
      <c r="P310" s="41"/>
      <c r="Q310" s="41"/>
      <c r="R310" s="41"/>
      <c r="S310" s="41"/>
      <c r="T310" s="41"/>
      <c r="V310" s="71" t="s">
        <v>42</v>
      </c>
      <c r="W310" s="71">
        <v>4.2000000000000003E-2</v>
      </c>
      <c r="X310" s="71">
        <v>8.3000000000000004E-2</v>
      </c>
      <c r="Y310" s="71">
        <v>0.16700000000000001</v>
      </c>
      <c r="Z310" s="71">
        <v>0.33300000000000002</v>
      </c>
      <c r="AA310" s="71">
        <v>0.5</v>
      </c>
      <c r="AB310" s="71">
        <v>100</v>
      </c>
      <c r="AE310" s="45">
        <f t="shared" si="10"/>
        <v>2.6284440098105279</v>
      </c>
    </row>
    <row r="311" spans="1:31" s="45" customFormat="1" ht="13.8" x14ac:dyDescent="0.3">
      <c r="A311" s="71">
        <v>65</v>
      </c>
      <c r="B311" s="73">
        <f t="shared" si="0"/>
        <v>44.31818183</v>
      </c>
      <c r="C311" s="74">
        <f t="shared" si="1"/>
        <v>2.2396209314361895</v>
      </c>
      <c r="D311" s="74" t="str">
        <f t="shared" si="9"/>
        <v/>
      </c>
      <c r="E311" s="74">
        <f t="shared" si="2"/>
        <v>0.53982842416905363</v>
      </c>
      <c r="F311" s="74">
        <f t="shared" si="3"/>
        <v>0.64841754745059133</v>
      </c>
      <c r="G311" s="74">
        <f t="shared" si="4"/>
        <v>0.72411578015543043</v>
      </c>
      <c r="H311" s="74">
        <f t="shared" si="5"/>
        <v>0.77866603672386359</v>
      </c>
      <c r="I311" s="74">
        <f t="shared" si="6"/>
        <v>0.81900531470257498</v>
      </c>
      <c r="J311" s="74">
        <f t="shared" si="7"/>
        <v>0.95945573701691489</v>
      </c>
      <c r="K311" s="74">
        <f t="shared" si="8"/>
        <v>1.1198902943064628</v>
      </c>
      <c r="L311" s="39"/>
      <c r="M311" s="41"/>
      <c r="N311" s="41"/>
      <c r="O311" s="41"/>
      <c r="P311" s="41"/>
      <c r="Q311" s="41"/>
      <c r="R311" s="41"/>
      <c r="S311" s="41"/>
      <c r="T311" s="41"/>
      <c r="V311" s="71" t="s">
        <v>54</v>
      </c>
      <c r="W311" s="71">
        <f>W310*$D$240</f>
        <v>0.42000000000000004</v>
      </c>
      <c r="X311" s="71">
        <f>X310*$D$240</f>
        <v>0.83000000000000007</v>
      </c>
      <c r="Y311" s="71">
        <f>Y310*$D$240</f>
        <v>1.6700000000000002</v>
      </c>
      <c r="Z311" s="71">
        <f>Z310*$D$240</f>
        <v>3.33</v>
      </c>
      <c r="AA311" s="71">
        <f>AA310*$D$240</f>
        <v>5</v>
      </c>
      <c r="AB311" s="71">
        <v>10</v>
      </c>
      <c r="AE311" s="45">
        <f t="shared" si="10"/>
        <v>2.2396209314361895</v>
      </c>
    </row>
    <row r="312" spans="1:31" s="45" customFormat="1" ht="13.8" x14ac:dyDescent="0.3">
      <c r="A312" s="71">
        <v>70</v>
      </c>
      <c r="B312" s="73">
        <f t="shared" si="0"/>
        <v>47.727272739999997</v>
      </c>
      <c r="C312" s="74">
        <f t="shared" si="1"/>
        <v>1.9311017214934494</v>
      </c>
      <c r="D312" s="74">
        <f t="shared" si="9"/>
        <v>0.52916620402922443</v>
      </c>
      <c r="E312" s="74">
        <f t="shared" si="2"/>
        <v>0.65799913934035592</v>
      </c>
      <c r="F312" s="74">
        <f t="shared" si="3"/>
        <v>0.74316159042325736</v>
      </c>
      <c r="G312" s="74">
        <f t="shared" si="4"/>
        <v>0.80192990563964506</v>
      </c>
      <c r="H312" s="74">
        <f t="shared" si="5"/>
        <v>0.91837197743531374</v>
      </c>
      <c r="I312" s="74">
        <f t="shared" si="6"/>
        <v>1.1199217370616568</v>
      </c>
      <c r="J312" s="74">
        <f t="shared" si="7"/>
        <v>1.2768490467887372</v>
      </c>
      <c r="K312" s="74">
        <f t="shared" si="8"/>
        <v>1.4010326103401627</v>
      </c>
      <c r="L312" s="39"/>
      <c r="M312" s="41"/>
      <c r="N312" s="41"/>
      <c r="O312" s="41"/>
      <c r="P312" s="41"/>
      <c r="Q312" s="41"/>
      <c r="R312" s="41"/>
      <c r="S312" s="41"/>
      <c r="T312" s="41"/>
      <c r="U312" s="45">
        <v>4</v>
      </c>
      <c r="V312" s="71">
        <f>$D$239+U312</f>
        <v>9.1890000000000001</v>
      </c>
      <c r="W312" s="71">
        <f xml:space="preserve"> 0.0155*V312^2 + 0.2236*V312 + 0.5749</f>
        <v>3.9383450754999996</v>
      </c>
      <c r="X312" s="71">
        <f xml:space="preserve"> 0.0026*V312^2 + 0.1315*V312 + 0.5686</f>
        <v>1.9964915746</v>
      </c>
      <c r="Y312" s="71">
        <f xml:space="preserve"> 0.087*V312 + 0.5755</f>
        <v>1.374943</v>
      </c>
      <c r="Z312" s="71">
        <f xml:space="preserve"> 0.0641*V312 + 0.5634</f>
        <v>1.1524149000000001</v>
      </c>
      <c r="AA312" s="71">
        <f xml:space="preserve"> 0.0586*V312+ 0.5669</f>
        <v>1.1053754</v>
      </c>
      <c r="AB312" s="71">
        <f xml:space="preserve"> 0.0509*V312 + 0.5391</f>
        <v>1.0068201000000001</v>
      </c>
      <c r="AE312" s="45">
        <f t="shared" si="10"/>
        <v>1.9311017214934494</v>
      </c>
    </row>
    <row r="313" spans="1:31" s="45" customFormat="1" ht="13.8" x14ac:dyDescent="0.3">
      <c r="A313" s="71">
        <v>75</v>
      </c>
      <c r="B313" s="73">
        <f t="shared" si="0"/>
        <v>51.13636365</v>
      </c>
      <c r="C313" s="74">
        <f t="shared" si="1"/>
        <v>1.6822041662787381</v>
      </c>
      <c r="D313" s="74">
        <f t="shared" si="9"/>
        <v>0.65188661418389504</v>
      </c>
      <c r="E313" s="74">
        <f t="shared" si="2"/>
        <v>0.75333324222999432</v>
      </c>
      <c r="F313" s="74">
        <f t="shared" si="3"/>
        <v>0.81959624961816069</v>
      </c>
      <c r="G313" s="74">
        <f t="shared" si="4"/>
        <v>1.0473252660914121</v>
      </c>
      <c r="H313" s="74">
        <f t="shared" si="5"/>
        <v>1.2547478536327739</v>
      </c>
      <c r="I313" s="74">
        <f t="shared" si="6"/>
        <v>1.4117486360400666</v>
      </c>
      <c r="J313" s="74">
        <f t="shared" si="7"/>
        <v>1.5329057729108284</v>
      </c>
      <c r="K313" s="74">
        <f t="shared" si="8"/>
        <v>1.6278438845592846</v>
      </c>
      <c r="L313" s="39"/>
      <c r="M313" s="41"/>
      <c r="N313" s="41"/>
      <c r="O313" s="41"/>
      <c r="P313" s="41"/>
      <c r="Q313" s="41"/>
      <c r="R313" s="41"/>
      <c r="S313" s="41"/>
      <c r="T313" s="41"/>
      <c r="AE313" s="45">
        <f t="shared" si="10"/>
        <v>1.6822041662787381</v>
      </c>
    </row>
    <row r="314" spans="1:31" s="45" customFormat="1" ht="13.8" x14ac:dyDescent="0.3">
      <c r="A314" s="71">
        <v>80</v>
      </c>
      <c r="B314" s="73">
        <f t="shared" si="0"/>
        <v>54.545454559999996</v>
      </c>
      <c r="C314" s="74">
        <f t="shared" si="1"/>
        <v>1.4784997555184221</v>
      </c>
      <c r="D314" s="74">
        <f t="shared" si="9"/>
        <v>0.75232427745164554</v>
      </c>
      <c r="E314" s="74">
        <f t="shared" si="2"/>
        <v>0.83808603807852011</v>
      </c>
      <c r="F314" s="74">
        <f t="shared" si="3"/>
        <v>1.1488633276804308</v>
      </c>
      <c r="G314" s="74">
        <f t="shared" si="4"/>
        <v>1.3690449803696119</v>
      </c>
      <c r="H314" s="74">
        <f t="shared" si="5"/>
        <v>1.5300468600680877</v>
      </c>
      <c r="I314" s="74">
        <f t="shared" si="6"/>
        <v>1.6505875689862977</v>
      </c>
      <c r="J314" s="74">
        <f t="shared" si="7"/>
        <v>2.1057940366268735</v>
      </c>
      <c r="K314" s="74">
        <f t="shared" si="8"/>
        <v>2.5674264016398816</v>
      </c>
      <c r="L314" s="39"/>
      <c r="M314" s="41"/>
      <c r="N314" s="41"/>
      <c r="O314" s="41"/>
      <c r="P314" s="41"/>
      <c r="Q314" s="41"/>
      <c r="R314" s="41"/>
      <c r="S314" s="41"/>
      <c r="T314" s="41"/>
      <c r="V314" s="71" t="s">
        <v>42</v>
      </c>
      <c r="W314" s="71">
        <v>4.2000000000000003E-2</v>
      </c>
      <c r="X314" s="71">
        <v>8.3000000000000004E-2</v>
      </c>
      <c r="Y314" s="71">
        <v>0.16700000000000001</v>
      </c>
      <c r="Z314" s="71">
        <v>0.33300000000000002</v>
      </c>
      <c r="AA314" s="71">
        <v>0.5</v>
      </c>
      <c r="AB314" s="71">
        <v>100</v>
      </c>
      <c r="AE314" s="45">
        <f t="shared" si="10"/>
        <v>1.4784997555184221</v>
      </c>
    </row>
    <row r="315" spans="1:31" s="45" customFormat="1" ht="13.8" x14ac:dyDescent="0.3">
      <c r="A315" s="71">
        <v>85</v>
      </c>
      <c r="B315" s="73">
        <f t="shared" si="0"/>
        <v>57.954545469999999</v>
      </c>
      <c r="C315" s="74">
        <f t="shared" si="1"/>
        <v>1.3096745239194327</v>
      </c>
      <c r="D315" s="74">
        <f t="shared" si="9"/>
        <v>0.86224338216261509</v>
      </c>
      <c r="E315" s="74">
        <f t="shared" si="2"/>
        <v>1.2233431075630805</v>
      </c>
      <c r="F315" s="74">
        <f t="shared" si="3"/>
        <v>1.4658472152991864</v>
      </c>
      <c r="G315" s="74">
        <f t="shared" si="4"/>
        <v>1.6356784080418556</v>
      </c>
      <c r="H315" s="74">
        <f t="shared" si="5"/>
        <v>2.1568853429914774</v>
      </c>
      <c r="I315" s="74">
        <f t="shared" si="6"/>
        <v>2.6998970260281592</v>
      </c>
      <c r="J315" s="74">
        <f t="shared" si="7"/>
        <v>3.1502239135362342</v>
      </c>
      <c r="K315" s="74">
        <f t="shared" si="8"/>
        <v>4.2509614185592799</v>
      </c>
      <c r="L315" s="39"/>
      <c r="M315" s="41"/>
      <c r="N315" s="41"/>
      <c r="O315" s="41"/>
      <c r="P315" s="41"/>
      <c r="Q315" s="41"/>
      <c r="R315" s="41"/>
      <c r="S315" s="41"/>
      <c r="T315" s="41"/>
      <c r="V315" s="71" t="s">
        <v>54</v>
      </c>
      <c r="W315" s="71">
        <f>W314*$D$240</f>
        <v>0.42000000000000004</v>
      </c>
      <c r="X315" s="71">
        <f>X314*$D$240</f>
        <v>0.83000000000000007</v>
      </c>
      <c r="Y315" s="71">
        <f>Y314*$D$240</f>
        <v>1.6700000000000002</v>
      </c>
      <c r="Z315" s="71">
        <f>Z314*$D$240</f>
        <v>3.33</v>
      </c>
      <c r="AA315" s="71">
        <f>AA314*$D$240</f>
        <v>5</v>
      </c>
      <c r="AB315" s="71">
        <v>10</v>
      </c>
      <c r="AE315" s="45">
        <f t="shared" si="10"/>
        <v>1.3096745239194327</v>
      </c>
    </row>
    <row r="316" spans="1:31" s="45" customFormat="1" ht="13.8" x14ac:dyDescent="0.3">
      <c r="A316" s="71">
        <v>90</v>
      </c>
      <c r="B316" s="73">
        <f t="shared" si="0"/>
        <v>61.363636380000003</v>
      </c>
      <c r="C316" s="74">
        <f t="shared" si="1"/>
        <v>1.1681973376935681</v>
      </c>
      <c r="D316" s="74">
        <f t="shared" si="9"/>
        <v>1.2664400273146401</v>
      </c>
      <c r="E316" s="74">
        <f t="shared" si="2"/>
        <v>1.5461922791475979</v>
      </c>
      <c r="F316" s="74">
        <f t="shared" si="3"/>
        <v>1.9775787010027099</v>
      </c>
      <c r="G316" s="74">
        <f t="shared" si="4"/>
        <v>2.6657405767458431</v>
      </c>
      <c r="H316" s="74">
        <f t="shared" si="5"/>
        <v>3.2122672436814814</v>
      </c>
      <c r="I316" s="74">
        <f t="shared" si="6"/>
        <v>4.8658031395757702</v>
      </c>
      <c r="J316" s="74">
        <f t="shared" si="7"/>
        <v>7.3859382716921385</v>
      </c>
      <c r="K316" s="74">
        <f t="shared" si="8"/>
        <v>9.643367872440896</v>
      </c>
      <c r="L316" s="39"/>
      <c r="M316" s="41"/>
      <c r="N316" s="41"/>
      <c r="O316" s="41"/>
      <c r="P316" s="41"/>
      <c r="Q316" s="41"/>
      <c r="R316" s="41"/>
      <c r="S316" s="41"/>
      <c r="T316" s="41"/>
      <c r="U316" s="45">
        <v>5</v>
      </c>
      <c r="V316" s="71">
        <f>$D$239+U316</f>
        <v>10.189</v>
      </c>
      <c r="W316" s="71">
        <f xml:space="preserve"> 0.0155*V316^2 + 0.2236*V316 + 0.5749</f>
        <v>4.4623040754999996</v>
      </c>
      <c r="X316" s="71">
        <f xml:space="preserve"> 0.0026*V316^2 + 0.1315*V316 + 0.5686</f>
        <v>2.1783743745999997</v>
      </c>
      <c r="Y316" s="71">
        <f xml:space="preserve"> 0.087*V316 + 0.5755</f>
        <v>1.461943</v>
      </c>
      <c r="Z316" s="71">
        <f xml:space="preserve"> 0.0641*V316 + 0.5634</f>
        <v>1.2165149</v>
      </c>
      <c r="AA316" s="71">
        <f xml:space="preserve"> 0.0586*V316+ 0.5669</f>
        <v>1.1639754</v>
      </c>
      <c r="AB316" s="71">
        <f xml:space="preserve"> 0.0509*V316 + 0.5391</f>
        <v>1.0577201000000001</v>
      </c>
      <c r="AE316" s="45">
        <f t="shared" si="10"/>
        <v>1.1681973376935681</v>
      </c>
    </row>
    <row r="317" spans="1:31" s="45" customFormat="1" ht="13.8" x14ac:dyDescent="0.3">
      <c r="A317" s="71">
        <v>95</v>
      </c>
      <c r="B317" s="73">
        <f t="shared" si="0"/>
        <v>64.772727290000006</v>
      </c>
      <c r="C317" s="74">
        <f t="shared" si="1"/>
        <v>1.0484652005892412</v>
      </c>
      <c r="D317" s="74">
        <f t="shared" si="9"/>
        <v>1.6085116321116806</v>
      </c>
      <c r="E317" s="74">
        <f t="shared" si="2"/>
        <v>2.3765883737877509</v>
      </c>
      <c r="F317" s="74">
        <f t="shared" si="3"/>
        <v>3.1022178930337603</v>
      </c>
      <c r="G317" s="74">
        <f t="shared" si="4"/>
        <v>4.9320654561554003</v>
      </c>
      <c r="H317" s="74">
        <f t="shared" si="5"/>
        <v>7.887221661887228</v>
      </c>
      <c r="I317" s="74" t="str">
        <f t="shared" si="6"/>
        <v/>
      </c>
      <c r="J317" s="74" t="str">
        <f t="shared" si="7"/>
        <v/>
      </c>
      <c r="K317" s="74" t="str">
        <f t="shared" si="8"/>
        <v/>
      </c>
      <c r="L317" s="39"/>
      <c r="M317" s="41"/>
      <c r="N317" s="41"/>
      <c r="O317" s="41"/>
      <c r="P317" s="41"/>
      <c r="Q317" s="41"/>
      <c r="R317" s="41"/>
      <c r="S317" s="41"/>
      <c r="T317" s="41"/>
      <c r="AE317" s="45">
        <f t="shared" si="10"/>
        <v>1.0484652005892412</v>
      </c>
    </row>
    <row r="318" spans="1:31" s="45" customFormat="1" ht="13.8" x14ac:dyDescent="0.3">
      <c r="A318" s="71">
        <v>100</v>
      </c>
      <c r="B318" s="73">
        <f t="shared" si="0"/>
        <v>68.181818199999995</v>
      </c>
      <c r="C318" s="74">
        <f t="shared" si="1"/>
        <v>0.94623984353179025</v>
      </c>
      <c r="D318" s="74">
        <f t="shared" si="9"/>
        <v>2.6932122801539791</v>
      </c>
      <c r="E318" s="74">
        <f t="shared" si="2"/>
        <v>4.0887335844368842</v>
      </c>
      <c r="F318" s="74">
        <f t="shared" si="3"/>
        <v>7.5215203641986594</v>
      </c>
      <c r="G318" s="74" t="str">
        <f t="shared" si="4"/>
        <v/>
      </c>
      <c r="H318" s="74" t="str">
        <f t="shared" si="5"/>
        <v/>
      </c>
      <c r="I318" s="74" t="str">
        <f t="shared" si="6"/>
        <v/>
      </c>
      <c r="J318" s="74" t="str">
        <f t="shared" si="7"/>
        <v/>
      </c>
      <c r="K318" s="74" t="str">
        <f t="shared" si="8"/>
        <v/>
      </c>
      <c r="L318" s="39"/>
      <c r="M318" s="41"/>
      <c r="N318" s="41"/>
      <c r="O318" s="41"/>
      <c r="P318" s="41"/>
      <c r="Q318" s="41"/>
      <c r="R318" s="41"/>
      <c r="S318" s="41"/>
      <c r="T318" s="41"/>
      <c r="V318" s="71" t="s">
        <v>42</v>
      </c>
      <c r="W318" s="71">
        <v>4.2000000000000003E-2</v>
      </c>
      <c r="X318" s="71">
        <v>8.3000000000000004E-2</v>
      </c>
      <c r="Y318" s="71">
        <v>0.16700000000000001</v>
      </c>
      <c r="Z318" s="71">
        <v>0.33300000000000002</v>
      </c>
      <c r="AA318" s="71">
        <v>0.5</v>
      </c>
      <c r="AB318" s="71">
        <v>100</v>
      </c>
      <c r="AE318" s="45">
        <f t="shared" si="10"/>
        <v>0.94623984353179025</v>
      </c>
    </row>
    <row r="319" spans="1:31" s="45" customFormat="1" ht="13.8" x14ac:dyDescent="0.3">
      <c r="A319" s="71">
        <v>105</v>
      </c>
      <c r="B319" s="73">
        <f t="shared" si="0"/>
        <v>71.590909109999998</v>
      </c>
      <c r="C319" s="74">
        <f t="shared" si="1"/>
        <v>0.85826743177486642</v>
      </c>
      <c r="D319" s="74">
        <f t="shared" si="9"/>
        <v>5.9377840718832005</v>
      </c>
      <c r="E319" s="74">
        <f t="shared" si="2"/>
        <v>9.7251795583036333</v>
      </c>
      <c r="F319" s="74" t="str">
        <f t="shared" si="3"/>
        <v/>
      </c>
      <c r="G319" s="74" t="str">
        <f t="shared" si="4"/>
        <v/>
      </c>
      <c r="H319" s="74" t="str">
        <f t="shared" si="5"/>
        <v/>
      </c>
      <c r="I319" s="74" t="str">
        <f t="shared" si="6"/>
        <v/>
      </c>
      <c r="J319" s="74" t="str">
        <f t="shared" si="7"/>
        <v/>
      </c>
      <c r="K319" s="74" t="str">
        <f t="shared" si="8"/>
        <v/>
      </c>
      <c r="L319" s="39"/>
      <c r="M319" s="41"/>
      <c r="N319" s="41"/>
      <c r="O319" s="41"/>
      <c r="P319" s="41"/>
      <c r="Q319" s="41"/>
      <c r="R319" s="41"/>
      <c r="S319" s="41"/>
      <c r="T319" s="41"/>
      <c r="V319" s="71" t="s">
        <v>54</v>
      </c>
      <c r="W319" s="71">
        <f>W318*$D$240</f>
        <v>0.42000000000000004</v>
      </c>
      <c r="X319" s="71">
        <f>X318*$D$240</f>
        <v>0.83000000000000007</v>
      </c>
      <c r="Y319" s="71">
        <f>Y318*$D$240</f>
        <v>1.6700000000000002</v>
      </c>
      <c r="Z319" s="71">
        <f>Z318*$D$240</f>
        <v>3.33</v>
      </c>
      <c r="AA319" s="71">
        <f>AA318*$D$240</f>
        <v>5</v>
      </c>
      <c r="AB319" s="71">
        <v>10</v>
      </c>
      <c r="AE319" s="45">
        <f t="shared" si="10"/>
        <v>0.85826743177486642</v>
      </c>
    </row>
    <row r="320" spans="1:31" s="45" customFormat="1" ht="13.8" x14ac:dyDescent="0.3">
      <c r="A320" s="71">
        <v>110</v>
      </c>
      <c r="B320" s="73">
        <f t="shared" si="0"/>
        <v>75.000000020000002</v>
      </c>
      <c r="C320" s="74">
        <f t="shared" si="1"/>
        <v>0.7820163996130497</v>
      </c>
      <c r="D320" s="74" t="str">
        <f t="shared" si="9"/>
        <v/>
      </c>
      <c r="E320" s="74" t="str">
        <f t="shared" si="2"/>
        <v/>
      </c>
      <c r="F320" s="74" t="str">
        <f t="shared" si="3"/>
        <v/>
      </c>
      <c r="G320" s="74" t="str">
        <f t="shared" si="4"/>
        <v/>
      </c>
      <c r="H320" s="74" t="str">
        <f t="shared" si="5"/>
        <v/>
      </c>
      <c r="I320" s="74" t="str">
        <f t="shared" si="6"/>
        <v/>
      </c>
      <c r="J320" s="74" t="str">
        <f t="shared" si="7"/>
        <v/>
      </c>
      <c r="K320" s="74" t="str">
        <f t="shared" si="8"/>
        <v/>
      </c>
      <c r="L320" s="39"/>
      <c r="M320" s="41"/>
      <c r="N320" s="41"/>
      <c r="O320" s="41"/>
      <c r="P320" s="41"/>
      <c r="Q320" s="41"/>
      <c r="R320" s="41"/>
      <c r="S320" s="41"/>
      <c r="T320" s="41"/>
      <c r="U320" s="45">
        <v>6</v>
      </c>
      <c r="V320" s="71">
        <f>$D$239+U320</f>
        <v>11.189</v>
      </c>
      <c r="W320" s="71">
        <f xml:space="preserve"> 0.0155*V320^2 + 0.2236*V320 + 0.5749</f>
        <v>5.0172630754999989</v>
      </c>
      <c r="X320" s="71">
        <f xml:space="preserve"> 0.0026*V320^2 + 0.1315*V320 + 0.5686</f>
        <v>2.3654571745999999</v>
      </c>
      <c r="Y320" s="71">
        <f xml:space="preserve"> 0.087*V320 + 0.5755</f>
        <v>1.548943</v>
      </c>
      <c r="Z320" s="71">
        <f xml:space="preserve"> 0.0641*V320 + 0.5634</f>
        <v>1.2806149000000002</v>
      </c>
      <c r="AA320" s="71">
        <f xml:space="preserve"> 0.0586*V320+ 0.5669</f>
        <v>1.2225754</v>
      </c>
      <c r="AB320" s="71">
        <f xml:space="preserve"> 0.0509*V320 + 0.5391</f>
        <v>1.1086201</v>
      </c>
      <c r="AE320" s="45">
        <f t="shared" si="10"/>
        <v>0.7820163996130497</v>
      </c>
    </row>
    <row r="321" spans="1:31" s="45" customFormat="1" ht="13.8" x14ac:dyDescent="0.3">
      <c r="A321" s="71">
        <v>115</v>
      </c>
      <c r="B321" s="73">
        <f t="shared" si="0"/>
        <v>78.409090930000005</v>
      </c>
      <c r="C321" s="74">
        <f t="shared" si="1"/>
        <v>0.7154932654304651</v>
      </c>
      <c r="D321" s="74" t="str">
        <f t="shared" si="9"/>
        <v/>
      </c>
      <c r="E321" s="74" t="str">
        <f t="shared" si="2"/>
        <v/>
      </c>
      <c r="F321" s="74" t="str">
        <f t="shared" si="3"/>
        <v/>
      </c>
      <c r="G321" s="74" t="str">
        <f t="shared" si="4"/>
        <v/>
      </c>
      <c r="H321" s="74" t="str">
        <f t="shared" si="5"/>
        <v/>
      </c>
      <c r="I321" s="74" t="str">
        <f t="shared" si="6"/>
        <v/>
      </c>
      <c r="J321" s="74" t="str">
        <f t="shared" si="7"/>
        <v/>
      </c>
      <c r="K321" s="74" t="str">
        <f t="shared" si="8"/>
        <v/>
      </c>
      <c r="L321" s="39"/>
      <c r="M321" s="41"/>
      <c r="N321" s="41"/>
      <c r="O321" s="41"/>
      <c r="P321" s="41"/>
      <c r="Q321" s="41"/>
      <c r="R321" s="41"/>
      <c r="S321" s="41"/>
      <c r="T321" s="41"/>
      <c r="AE321" s="45">
        <f t="shared" si="10"/>
        <v>0.7154932654304651</v>
      </c>
    </row>
    <row r="322" spans="1:31" s="45" customFormat="1" ht="13.8" x14ac:dyDescent="0.3">
      <c r="A322" s="71">
        <v>120</v>
      </c>
      <c r="B322" s="73">
        <f t="shared" si="0"/>
        <v>81.818181839999994</v>
      </c>
      <c r="C322" s="74">
        <f t="shared" si="1"/>
        <v>0.65711100245263199</v>
      </c>
      <c r="D322" s="74" t="str">
        <f t="shared" si="9"/>
        <v/>
      </c>
      <c r="E322" s="74" t="str">
        <f t="shared" si="2"/>
        <v/>
      </c>
      <c r="F322" s="74" t="str">
        <f t="shared" si="3"/>
        <v/>
      </c>
      <c r="G322" s="74" t="str">
        <f t="shared" si="4"/>
        <v/>
      </c>
      <c r="H322" s="74" t="str">
        <f t="shared" si="5"/>
        <v/>
      </c>
      <c r="I322" s="74" t="str">
        <f t="shared" si="6"/>
        <v/>
      </c>
      <c r="J322" s="74" t="str">
        <f t="shared" si="7"/>
        <v/>
      </c>
      <c r="K322" s="74" t="str">
        <f t="shared" si="8"/>
        <v/>
      </c>
      <c r="L322" s="39"/>
      <c r="M322" s="41"/>
      <c r="N322" s="41"/>
      <c r="O322" s="41"/>
      <c r="P322" s="41"/>
      <c r="Q322" s="41"/>
      <c r="R322" s="41"/>
      <c r="S322" s="41"/>
      <c r="T322" s="41"/>
      <c r="V322" s="71" t="s">
        <v>42</v>
      </c>
      <c r="W322" s="71">
        <v>4.2000000000000003E-2</v>
      </c>
      <c r="X322" s="71">
        <v>8.3000000000000004E-2</v>
      </c>
      <c r="Y322" s="71">
        <v>0.16700000000000001</v>
      </c>
      <c r="Z322" s="71">
        <v>0.33300000000000002</v>
      </c>
      <c r="AA322" s="71">
        <v>0.5</v>
      </c>
      <c r="AB322" s="71">
        <v>100</v>
      </c>
      <c r="AE322" s="45">
        <f t="shared" si="10"/>
        <v>0.65711100245263199</v>
      </c>
    </row>
    <row r="323" spans="1:31" s="45" customFormat="1" ht="13.8" x14ac:dyDescent="0.3">
      <c r="A323" s="71">
        <v>125</v>
      </c>
      <c r="B323" s="73">
        <f t="shared" si="0"/>
        <v>85.227272749999997</v>
      </c>
      <c r="C323" s="74">
        <f t="shared" si="1"/>
        <v>0.60559349986034572</v>
      </c>
      <c r="D323" s="74" t="str">
        <f>IF($C323&gt;$W$296,"",IF($C323&gt;$X$296,(($C323-$X$296)/($W$296-$X$296)*($W$295-$X$295))+$X$295,IF($C323&gt;$Y$296,(($C323-$Y$296)/($X$296-$Y$296)*($X$295-$Y$295))+$Y$295,IF($C323&gt;$Z$296,(($C323-$Z$296)/($Y$296-$Z$296)*($Y$295-$Z$295))+$Z$295,IF($C323&gt;$AA$296,(($C323-$AA$296)/($Z$296-$AA$296)*($Z$295-$AA$295))+$AA$295,IF($C323&gt;$AB$296,(($C323-$AB$296)/($AA$296-$AB$296)*($AA$295-$AB$295))+$AB$295,""))))))</f>
        <v/>
      </c>
      <c r="E323" s="74" t="str">
        <f t="shared" si="2"/>
        <v/>
      </c>
      <c r="F323" s="74" t="str">
        <f t="shared" si="3"/>
        <v/>
      </c>
      <c r="G323" s="74" t="str">
        <f t="shared" si="4"/>
        <v/>
      </c>
      <c r="H323" s="74" t="str">
        <f t="shared" si="5"/>
        <v/>
      </c>
      <c r="I323" s="74" t="str">
        <f t="shared" si="6"/>
        <v/>
      </c>
      <c r="J323" s="74" t="str">
        <f t="shared" si="7"/>
        <v/>
      </c>
      <c r="K323" s="74" t="str">
        <f t="shared" si="8"/>
        <v/>
      </c>
      <c r="L323" s="39"/>
      <c r="M323" s="41"/>
      <c r="N323" s="41"/>
      <c r="O323" s="41"/>
      <c r="P323" s="41"/>
      <c r="Q323" s="41"/>
      <c r="R323" s="41"/>
      <c r="S323" s="41"/>
      <c r="T323" s="41"/>
      <c r="V323" s="71" t="s">
        <v>54</v>
      </c>
      <c r="W323" s="71">
        <f>W322*$D$240</f>
        <v>0.42000000000000004</v>
      </c>
      <c r="X323" s="71">
        <f>X322*$D$240</f>
        <v>0.83000000000000007</v>
      </c>
      <c r="Y323" s="71">
        <f>Y322*$D$240</f>
        <v>1.6700000000000002</v>
      </c>
      <c r="Z323" s="71">
        <f>Z322*$D$240</f>
        <v>3.33</v>
      </c>
      <c r="AA323" s="71">
        <f>AA322*$D$240</f>
        <v>5</v>
      </c>
      <c r="AB323" s="71">
        <v>10</v>
      </c>
      <c r="AE323" s="45">
        <f t="shared" si="10"/>
        <v>0.60559349986034572</v>
      </c>
    </row>
    <row r="324" spans="1:31" s="45" customFormat="1" ht="13.8" x14ac:dyDescent="0.3">
      <c r="A324" s="71">
        <v>130</v>
      </c>
      <c r="B324" s="73">
        <f t="shared" si="0"/>
        <v>88.636363660000001</v>
      </c>
      <c r="C324" s="74">
        <f t="shared" si="1"/>
        <v>0.55990523285904736</v>
      </c>
      <c r="D324" s="74" t="str">
        <f t="shared" si="9"/>
        <v/>
      </c>
      <c r="E324" s="74" t="str">
        <f t="shared" si="2"/>
        <v/>
      </c>
      <c r="F324" s="74" t="str">
        <f t="shared" si="3"/>
        <v/>
      </c>
      <c r="G324" s="74" t="str">
        <f t="shared" si="4"/>
        <v/>
      </c>
      <c r="H324" s="74" t="str">
        <f t="shared" si="5"/>
        <v/>
      </c>
      <c r="I324" s="74" t="str">
        <f t="shared" si="6"/>
        <v/>
      </c>
      <c r="J324" s="74" t="str">
        <f t="shared" si="7"/>
        <v/>
      </c>
      <c r="K324" s="74" t="str">
        <f t="shared" si="8"/>
        <v/>
      </c>
      <c r="L324" s="39"/>
      <c r="M324" s="41"/>
      <c r="N324" s="41"/>
      <c r="O324" s="41"/>
      <c r="P324" s="41"/>
      <c r="Q324" s="41"/>
      <c r="R324" s="41"/>
      <c r="S324" s="41"/>
      <c r="T324" s="41"/>
      <c r="U324" s="45">
        <v>7</v>
      </c>
      <c r="V324" s="71">
        <f>$D$239+U324</f>
        <v>12.189</v>
      </c>
      <c r="W324" s="71">
        <f xml:space="preserve"> 0.0155*V324^2 + 0.2236*V324 + 0.5749</f>
        <v>5.6032220754999997</v>
      </c>
      <c r="X324" s="71">
        <f xml:space="preserve"> 0.0026*V324^2 + 0.1315*V324 + 0.5686</f>
        <v>2.5577399746</v>
      </c>
      <c r="Y324" s="71">
        <f xml:space="preserve"> 0.087*V324 + 0.5755</f>
        <v>1.6359430000000001</v>
      </c>
      <c r="Z324" s="71">
        <f xml:space="preserve"> 0.0641*V324 + 0.5634</f>
        <v>1.3447149</v>
      </c>
      <c r="AA324" s="71">
        <f xml:space="preserve"> 0.0586*V324+ 0.5669</f>
        <v>1.2811754</v>
      </c>
      <c r="AB324" s="71">
        <f xml:space="preserve"> 0.0509*V324 + 0.5391</f>
        <v>1.1595200999999999</v>
      </c>
      <c r="AE324" s="45">
        <f t="shared" si="10"/>
        <v>0.55990523285904736</v>
      </c>
    </row>
    <row r="325" spans="1:31" s="45" customFormat="1" ht="13.8" x14ac:dyDescent="0.3">
      <c r="A325" s="71">
        <v>135</v>
      </c>
      <c r="B325" s="73">
        <f t="shared" si="0"/>
        <v>92.045454570000004</v>
      </c>
      <c r="C325" s="74">
        <f t="shared" si="1"/>
        <v>0.51919881675269686</v>
      </c>
      <c r="D325" s="74" t="str">
        <f t="shared" si="9"/>
        <v/>
      </c>
      <c r="E325" s="74" t="str">
        <f t="shared" si="2"/>
        <v/>
      </c>
      <c r="F325" s="74" t="str">
        <f t="shared" si="3"/>
        <v/>
      </c>
      <c r="G325" s="74" t="str">
        <f t="shared" si="4"/>
        <v/>
      </c>
      <c r="H325" s="74" t="str">
        <f t="shared" si="5"/>
        <v/>
      </c>
      <c r="I325" s="74" t="str">
        <f t="shared" si="6"/>
        <v/>
      </c>
      <c r="J325" s="74" t="str">
        <f t="shared" si="7"/>
        <v/>
      </c>
      <c r="K325" s="74" t="str">
        <f t="shared" si="8"/>
        <v/>
      </c>
      <c r="L325" s="39"/>
      <c r="M325" s="41"/>
      <c r="N325" s="41"/>
      <c r="O325" s="41"/>
      <c r="P325" s="41"/>
      <c r="Q325" s="41"/>
      <c r="R325" s="41"/>
      <c r="S325" s="41"/>
      <c r="T325" s="41"/>
      <c r="AE325" s="45">
        <f t="shared" si="10"/>
        <v>0.51919881675269686</v>
      </c>
    </row>
    <row r="326" spans="1:31" s="45" customFormat="1" ht="13.8" x14ac:dyDescent="0.3">
      <c r="A326" s="71">
        <v>140</v>
      </c>
      <c r="B326" s="73">
        <f t="shared" si="0"/>
        <v>95.454545479999993</v>
      </c>
      <c r="C326" s="74">
        <f t="shared" si="1"/>
        <v>0.48277543037336235</v>
      </c>
      <c r="D326" s="74" t="str">
        <f t="shared" si="9"/>
        <v/>
      </c>
      <c r="E326" s="74" t="str">
        <f t="shared" si="2"/>
        <v/>
      </c>
      <c r="F326" s="74" t="str">
        <f t="shared" si="3"/>
        <v/>
      </c>
      <c r="G326" s="74" t="str">
        <f t="shared" si="4"/>
        <v/>
      </c>
      <c r="H326" s="74" t="str">
        <f t="shared" si="5"/>
        <v/>
      </c>
      <c r="I326" s="74" t="str">
        <f t="shared" si="6"/>
        <v/>
      </c>
      <c r="J326" s="74" t="str">
        <f t="shared" si="7"/>
        <v/>
      </c>
      <c r="K326" s="74" t="str">
        <f t="shared" si="8"/>
        <v/>
      </c>
      <c r="L326" s="39"/>
      <c r="M326" s="41"/>
      <c r="N326" s="41"/>
      <c r="O326" s="41"/>
      <c r="P326" s="41"/>
      <c r="Q326" s="41"/>
      <c r="R326" s="41"/>
      <c r="S326" s="41"/>
      <c r="T326" s="41"/>
      <c r="AE326" s="45">
        <f t="shared" si="10"/>
        <v>0.48277543037336235</v>
      </c>
    </row>
    <row r="327" spans="1:31" s="45" customFormat="1" ht="13.8" x14ac:dyDescent="0.3">
      <c r="A327" s="71">
        <v>145</v>
      </c>
      <c r="B327" s="73">
        <f t="shared" si="0"/>
        <v>98.863636389999996</v>
      </c>
      <c r="C327" s="74">
        <f t="shared" si="1"/>
        <v>0.45005462236946026</v>
      </c>
      <c r="D327" s="74" t="str">
        <f t="shared" si="9"/>
        <v/>
      </c>
      <c r="E327" s="74" t="str">
        <f t="shared" si="2"/>
        <v/>
      </c>
      <c r="F327" s="74" t="str">
        <f t="shared" si="3"/>
        <v/>
      </c>
      <c r="G327" s="74" t="str">
        <f t="shared" si="4"/>
        <v/>
      </c>
      <c r="H327" s="74" t="str">
        <f t="shared" si="5"/>
        <v/>
      </c>
      <c r="I327" s="74" t="str">
        <f t="shared" si="6"/>
        <v/>
      </c>
      <c r="J327" s="74" t="str">
        <f t="shared" si="7"/>
        <v/>
      </c>
      <c r="K327" s="74" t="str">
        <f t="shared" si="8"/>
        <v/>
      </c>
      <c r="L327" s="39"/>
      <c r="M327" s="41"/>
      <c r="N327" s="41"/>
      <c r="O327" s="41"/>
      <c r="P327" s="41"/>
      <c r="Q327" s="41"/>
      <c r="R327" s="41"/>
      <c r="S327" s="41"/>
      <c r="T327" s="41"/>
      <c r="AE327" s="45">
        <f t="shared" si="10"/>
        <v>0.45005462236946026</v>
      </c>
    </row>
    <row r="328" spans="1:31" s="45" customFormat="1" ht="13.8" x14ac:dyDescent="0.3">
      <c r="A328" s="71">
        <v>150</v>
      </c>
      <c r="B328" s="73">
        <f t="shared" si="0"/>
        <v>102.2727273</v>
      </c>
      <c r="C328" s="74">
        <f t="shared" si="1"/>
        <v>0.42055104156968454</v>
      </c>
      <c r="D328" s="74" t="str">
        <f t="shared" si="9"/>
        <v/>
      </c>
      <c r="E328" s="74" t="str">
        <f t="shared" si="2"/>
        <v/>
      </c>
      <c r="F328" s="74" t="str">
        <f t="shared" si="3"/>
        <v/>
      </c>
      <c r="G328" s="74" t="str">
        <f t="shared" si="4"/>
        <v/>
      </c>
      <c r="H328" s="74" t="str">
        <f t="shared" si="5"/>
        <v/>
      </c>
      <c r="I328" s="74" t="str">
        <f t="shared" si="6"/>
        <v/>
      </c>
      <c r="J328" s="74" t="str">
        <f t="shared" si="7"/>
        <v/>
      </c>
      <c r="K328" s="74" t="str">
        <f t="shared" si="8"/>
        <v/>
      </c>
      <c r="L328" s="39"/>
      <c r="M328" s="41"/>
      <c r="N328" s="41"/>
      <c r="O328" s="41"/>
      <c r="P328" s="41"/>
      <c r="Q328" s="41"/>
      <c r="R328" s="41"/>
      <c r="S328" s="41"/>
      <c r="T328" s="41"/>
      <c r="AE328" s="45">
        <f t="shared" si="10"/>
        <v>0.42055104156968454</v>
      </c>
    </row>
    <row r="329" spans="1:31" s="45" customFormat="1" ht="13.8" x14ac:dyDescent="0.3">
      <c r="A329" s="71">
        <v>155</v>
      </c>
      <c r="B329" s="73">
        <f t="shared" si="0"/>
        <v>105.68181821</v>
      </c>
      <c r="C329" s="74">
        <f t="shared" si="1"/>
        <v>0.39385633445652035</v>
      </c>
      <c r="D329" s="74" t="str">
        <f t="shared" si="9"/>
        <v/>
      </c>
      <c r="E329" s="74" t="str">
        <f t="shared" si="2"/>
        <v/>
      </c>
      <c r="F329" s="74" t="str">
        <f t="shared" si="3"/>
        <v/>
      </c>
      <c r="G329" s="74" t="str">
        <f t="shared" si="4"/>
        <v/>
      </c>
      <c r="H329" s="74" t="str">
        <f t="shared" si="5"/>
        <v/>
      </c>
      <c r="I329" s="74" t="str">
        <f t="shared" si="6"/>
        <v/>
      </c>
      <c r="J329" s="74" t="str">
        <f t="shared" si="7"/>
        <v/>
      </c>
      <c r="K329" s="74" t="str">
        <f t="shared" si="8"/>
        <v/>
      </c>
      <c r="L329" s="39"/>
      <c r="M329" s="41"/>
      <c r="N329" s="41"/>
      <c r="O329" s="41"/>
      <c r="P329" s="41"/>
      <c r="Q329" s="41"/>
      <c r="R329" s="41"/>
      <c r="S329" s="41"/>
      <c r="T329" s="41"/>
      <c r="AE329" s="45">
        <f t="shared" si="10"/>
        <v>0.39385633445652035</v>
      </c>
    </row>
    <row r="330" spans="1:31" s="45" customFormat="1" ht="13.8" x14ac:dyDescent="0.3">
      <c r="B330" s="60"/>
      <c r="C330" s="60"/>
      <c r="D330" s="60"/>
      <c r="E330" s="60"/>
      <c r="F330" s="60"/>
      <c r="G330" s="60"/>
      <c r="H330" s="60"/>
      <c r="I330" s="60"/>
      <c r="J330" s="60"/>
      <c r="L330" s="39"/>
      <c r="M330" s="41"/>
      <c r="N330" s="41"/>
      <c r="O330" s="41"/>
      <c r="P330" s="41"/>
      <c r="Q330" s="41"/>
      <c r="R330" s="41"/>
      <c r="S330" s="41"/>
      <c r="T330" s="41"/>
    </row>
    <row r="331" spans="1:31" s="45" customFormat="1" ht="13.8" x14ac:dyDescent="0.3">
      <c r="L331" s="39"/>
      <c r="M331" s="41"/>
      <c r="N331" s="41"/>
      <c r="O331" s="41"/>
      <c r="P331" s="41"/>
      <c r="Q331" s="41"/>
      <c r="R331" s="41"/>
      <c r="S331" s="41"/>
      <c r="T331" s="41"/>
    </row>
    <row r="332" spans="1:31" s="45" customFormat="1" ht="13.8" x14ac:dyDescent="0.3">
      <c r="B332" s="60"/>
      <c r="J332" s="71"/>
      <c r="L332" s="39"/>
      <c r="M332" s="41"/>
      <c r="N332" s="41"/>
      <c r="O332" s="41"/>
      <c r="P332" s="41"/>
      <c r="Q332" s="41"/>
      <c r="R332" s="41"/>
      <c r="S332" s="41"/>
      <c r="T332" s="41"/>
    </row>
    <row r="333" spans="1:31" s="45" customFormat="1" ht="13.8" x14ac:dyDescent="0.3">
      <c r="B333" s="60"/>
      <c r="J333" s="71"/>
      <c r="L333" s="39"/>
      <c r="M333" s="41"/>
      <c r="N333" s="41"/>
      <c r="O333" s="41"/>
      <c r="P333" s="41"/>
      <c r="Q333" s="41"/>
      <c r="R333" s="41"/>
      <c r="S333" s="41"/>
      <c r="T333" s="41"/>
    </row>
    <row r="334" spans="1:31" s="45" customFormat="1" ht="13.8" x14ac:dyDescent="0.3">
      <c r="L334" s="39"/>
      <c r="M334" s="41"/>
      <c r="N334" s="41"/>
      <c r="O334" s="41"/>
      <c r="P334" s="41"/>
      <c r="Q334" s="41"/>
      <c r="R334" s="41"/>
      <c r="S334" s="41"/>
      <c r="T334" s="41"/>
    </row>
    <row r="335" spans="1:31" s="45" customFormat="1" ht="13.8" x14ac:dyDescent="0.3">
      <c r="L335" s="39"/>
      <c r="M335" s="41"/>
      <c r="N335" s="41"/>
      <c r="O335" s="41"/>
      <c r="P335" s="41"/>
      <c r="Q335" s="41"/>
      <c r="R335" s="41"/>
      <c r="S335" s="41"/>
      <c r="T335" s="41"/>
    </row>
    <row r="336" spans="1:31" s="45" customFormat="1" ht="13.8" x14ac:dyDescent="0.3">
      <c r="A336" s="24"/>
      <c r="B336" s="19"/>
      <c r="C336" s="19"/>
      <c r="D336" s="19"/>
      <c r="E336" s="48" t="s">
        <v>72</v>
      </c>
      <c r="F336" s="49" t="str">
        <f>$B$1</f>
        <v>R. Abbott</v>
      </c>
      <c r="H336" s="50"/>
      <c r="I336" s="48" t="s">
        <v>78</v>
      </c>
      <c r="J336" s="51" t="str">
        <f>$E$2</f>
        <v>AA-SM-221</v>
      </c>
      <c r="K336" s="52"/>
      <c r="L336" s="39"/>
      <c r="M336" s="41"/>
      <c r="N336" s="41"/>
      <c r="O336" s="41"/>
      <c r="P336" s="41"/>
      <c r="Q336" s="41"/>
      <c r="R336" s="41"/>
      <c r="S336" s="41"/>
      <c r="T336" s="41"/>
    </row>
    <row r="337" spans="1:23" s="45" customFormat="1" ht="13.8" x14ac:dyDescent="0.3">
      <c r="A337" s="19"/>
      <c r="B337" s="19"/>
      <c r="C337" s="19"/>
      <c r="D337" s="19"/>
      <c r="E337" s="48" t="s">
        <v>74</v>
      </c>
      <c r="F337" s="50" t="str">
        <f>$B$2</f>
        <v xml:space="preserve"> </v>
      </c>
      <c r="H337" s="50"/>
      <c r="I337" s="48" t="s">
        <v>79</v>
      </c>
      <c r="J337" s="52" t="str">
        <f>$E$3</f>
        <v>A</v>
      </c>
      <c r="K337" s="52"/>
      <c r="L337" s="39"/>
      <c r="M337" s="41">
        <v>1</v>
      </c>
      <c r="N337" s="41"/>
      <c r="O337" s="41"/>
      <c r="P337" s="41"/>
      <c r="Q337" s="41"/>
      <c r="R337" s="41"/>
      <c r="S337" s="41"/>
      <c r="T337" s="41"/>
    </row>
    <row r="338" spans="1:23" s="45" customFormat="1" ht="13.8" x14ac:dyDescent="0.3">
      <c r="A338" s="19"/>
      <c r="B338" s="19"/>
      <c r="C338" s="19"/>
      <c r="D338" s="19"/>
      <c r="E338" s="48" t="s">
        <v>7</v>
      </c>
      <c r="F338" s="50" t="str">
        <f>$B$3</f>
        <v>Aug 2010</v>
      </c>
      <c r="H338" s="50"/>
      <c r="I338" s="48" t="s">
        <v>80</v>
      </c>
      <c r="J338" s="49" t="str">
        <f>$B$5&amp;L338&amp;" of "&amp;$B$5&amp;$E$1</f>
        <v>9 of 9</v>
      </c>
      <c r="K338" s="50"/>
      <c r="L338" s="39">
        <f>SUM($M$1:M337)</f>
        <v>9</v>
      </c>
      <c r="M338" s="41"/>
      <c r="N338" s="41"/>
      <c r="O338" s="41"/>
      <c r="P338" s="41"/>
      <c r="Q338" s="41"/>
      <c r="R338" s="41"/>
      <c r="S338" s="41"/>
      <c r="T338" s="41"/>
    </row>
    <row r="339" spans="1:23" s="45" customFormat="1" ht="13.8" x14ac:dyDescent="0.3">
      <c r="L339" s="39"/>
      <c r="M339" s="41"/>
      <c r="N339" s="41"/>
      <c r="O339" s="41"/>
      <c r="P339" s="41"/>
      <c r="Q339" s="41"/>
      <c r="R339" s="41"/>
      <c r="S339" s="41"/>
      <c r="T339" s="41"/>
    </row>
    <row r="340" spans="1:23" s="45" customFormat="1" ht="13.8" x14ac:dyDescent="0.3">
      <c r="I340" s="53"/>
      <c r="J340" s="49"/>
      <c r="L340" s="39"/>
      <c r="M340" s="41"/>
      <c r="N340" s="41"/>
      <c r="O340" s="41"/>
      <c r="P340" s="41"/>
      <c r="Q340" s="41"/>
      <c r="R340" s="41"/>
      <c r="S340" s="41"/>
      <c r="T340" s="41"/>
    </row>
    <row r="341" spans="1:23" x14ac:dyDescent="0.3">
      <c r="B341" s="38" t="str">
        <f>($B$4)&amp;".0 "&amp;$E$4</f>
        <v>3.0 GENERAL</v>
      </c>
    </row>
    <row r="342" spans="1:23" x14ac:dyDescent="0.3">
      <c r="B342" s="38" t="s">
        <v>28</v>
      </c>
    </row>
    <row r="343" spans="1:23" s="45" customFormat="1" ht="13.8" x14ac:dyDescent="0.3">
      <c r="B343" s="109" t="s">
        <v>157</v>
      </c>
      <c r="C343" s="109"/>
      <c r="D343" s="109"/>
      <c r="E343" s="109"/>
      <c r="F343" s="109"/>
      <c r="G343" s="109"/>
      <c r="H343" s="109"/>
      <c r="I343" s="109"/>
      <c r="J343" s="109"/>
      <c r="L343" s="39"/>
      <c r="M343" s="41"/>
      <c r="N343" s="41"/>
      <c r="O343" s="41"/>
      <c r="P343" s="41"/>
      <c r="Q343" s="41"/>
      <c r="R343" s="41"/>
      <c r="S343" s="41"/>
      <c r="T343" s="41"/>
    </row>
    <row r="344" spans="1:23" s="45" customFormat="1" ht="13.8" x14ac:dyDescent="0.3">
      <c r="B344" s="109"/>
      <c r="C344" s="109"/>
      <c r="D344" s="109"/>
      <c r="E344" s="109"/>
      <c r="F344" s="109"/>
      <c r="G344" s="109"/>
      <c r="H344" s="109"/>
      <c r="I344" s="109"/>
      <c r="J344" s="109"/>
      <c r="L344" s="39"/>
      <c r="M344" s="41"/>
      <c r="N344" s="41"/>
      <c r="O344" s="41"/>
      <c r="P344" s="41"/>
      <c r="Q344" s="41"/>
      <c r="R344" s="41"/>
      <c r="S344" s="41"/>
      <c r="T344" s="41"/>
    </row>
    <row r="345" spans="1:23" s="45" customFormat="1" ht="13.8" x14ac:dyDescent="0.3">
      <c r="B345" s="109"/>
      <c r="C345" s="109"/>
      <c r="D345" s="109"/>
      <c r="E345" s="109"/>
      <c r="F345" s="109"/>
      <c r="G345" s="109"/>
      <c r="H345" s="109"/>
      <c r="I345" s="109"/>
      <c r="J345" s="109"/>
      <c r="L345" s="39"/>
      <c r="M345" s="41"/>
      <c r="N345" s="41"/>
      <c r="O345" s="41"/>
      <c r="P345" s="41"/>
      <c r="Q345" s="41"/>
      <c r="R345" s="41"/>
      <c r="S345" s="41"/>
      <c r="T345" s="41"/>
    </row>
    <row r="346" spans="1:23" s="45" customFormat="1" ht="13.8" x14ac:dyDescent="0.3">
      <c r="B346" s="54"/>
      <c r="C346" s="54"/>
      <c r="D346" s="54"/>
      <c r="E346" s="54"/>
      <c r="F346" s="54"/>
      <c r="G346" s="54"/>
      <c r="H346" s="54"/>
      <c r="I346" s="54"/>
      <c r="J346" s="54"/>
      <c r="L346" s="39"/>
      <c r="M346" s="41"/>
      <c r="N346" s="41"/>
      <c r="O346" s="41"/>
      <c r="P346" s="41"/>
      <c r="Q346" s="41"/>
      <c r="R346" s="41"/>
      <c r="S346" s="41"/>
      <c r="T346" s="41"/>
    </row>
    <row r="347" spans="1:23" s="45" customFormat="1" ht="13.8" x14ac:dyDescent="0.3">
      <c r="B347" s="54"/>
      <c r="C347" s="54"/>
      <c r="D347" s="54"/>
      <c r="E347" s="54"/>
      <c r="F347" s="54"/>
      <c r="G347" s="54"/>
      <c r="H347" s="54"/>
      <c r="I347" s="54"/>
      <c r="J347" s="54"/>
      <c r="L347" s="39"/>
      <c r="M347" s="41"/>
      <c r="N347" s="41"/>
      <c r="O347" s="41"/>
      <c r="P347" s="41"/>
      <c r="Q347" s="41"/>
      <c r="R347" s="41"/>
      <c r="S347" s="41"/>
      <c r="T347" s="41"/>
    </row>
    <row r="348" spans="1:23" s="45" customFormat="1" ht="13.8" x14ac:dyDescent="0.3">
      <c r="B348" s="54"/>
      <c r="C348" s="54"/>
      <c r="D348" s="54"/>
      <c r="E348" s="54"/>
      <c r="F348" s="54"/>
      <c r="G348" s="54"/>
      <c r="H348" s="54"/>
      <c r="I348" s="54"/>
      <c r="J348" s="54"/>
      <c r="L348" s="39"/>
      <c r="M348" s="41"/>
      <c r="N348" s="41"/>
      <c r="O348" s="41"/>
      <c r="P348" s="41"/>
      <c r="Q348" s="41"/>
      <c r="R348" s="41"/>
      <c r="S348" s="41"/>
      <c r="T348" s="41"/>
      <c r="V348" s="45">
        <v>0.1</v>
      </c>
      <c r="W348" s="45">
        <f>'Aircraft Parameters'!C15</f>
        <v>10</v>
      </c>
    </row>
    <row r="349" spans="1:23" s="45" customFormat="1" ht="13.8" x14ac:dyDescent="0.3">
      <c r="B349" s="54"/>
      <c r="C349" s="54"/>
      <c r="D349" s="54"/>
      <c r="E349" s="54"/>
      <c r="F349" s="54"/>
      <c r="G349" s="54"/>
      <c r="H349" s="54"/>
      <c r="I349" s="54"/>
      <c r="J349" s="54"/>
      <c r="L349" s="39"/>
      <c r="M349" s="41"/>
      <c r="N349" s="41"/>
      <c r="O349" s="41"/>
      <c r="P349" s="41"/>
      <c r="Q349" s="41"/>
      <c r="R349" s="41"/>
      <c r="S349" s="41"/>
      <c r="T349" s="41"/>
      <c r="V349" s="45">
        <f>'Aircraft Parameters'!C16</f>
        <v>75</v>
      </c>
      <c r="W349" s="45">
        <f>W348</f>
        <v>10</v>
      </c>
    </row>
    <row r="350" spans="1:23" s="45" customFormat="1" ht="13.8" x14ac:dyDescent="0.3">
      <c r="B350" s="54"/>
      <c r="C350" s="54"/>
      <c r="D350" s="54"/>
      <c r="E350" s="54"/>
      <c r="F350" s="54"/>
      <c r="G350" s="54"/>
      <c r="H350" s="54"/>
      <c r="I350" s="54"/>
      <c r="J350" s="54"/>
      <c r="L350" s="39"/>
      <c r="M350" s="41"/>
      <c r="N350" s="41"/>
      <c r="O350" s="41"/>
      <c r="P350" s="41"/>
      <c r="Q350" s="41"/>
      <c r="R350" s="41"/>
      <c r="S350" s="41"/>
      <c r="T350" s="41"/>
      <c r="V350" s="45">
        <f>V349</f>
        <v>75</v>
      </c>
      <c r="W350" s="45">
        <v>0.1</v>
      </c>
    </row>
    <row r="351" spans="1:23" s="45" customFormat="1" ht="13.8" x14ac:dyDescent="0.3">
      <c r="B351" s="54"/>
      <c r="C351" s="54"/>
      <c r="D351" s="54"/>
      <c r="E351" s="54"/>
      <c r="F351" s="54"/>
      <c r="G351" s="54"/>
      <c r="H351" s="54"/>
      <c r="I351" s="54"/>
      <c r="J351" s="54"/>
      <c r="L351" s="39"/>
      <c r="M351" s="41"/>
      <c r="N351" s="41"/>
      <c r="O351" s="41"/>
      <c r="P351" s="41"/>
      <c r="Q351" s="41"/>
      <c r="R351" s="41"/>
      <c r="S351" s="41"/>
      <c r="T351" s="41"/>
    </row>
    <row r="352" spans="1:23" s="45" customFormat="1" ht="13.8" x14ac:dyDescent="0.3">
      <c r="B352" s="54"/>
      <c r="C352" s="54"/>
      <c r="D352" s="54"/>
      <c r="E352" s="54"/>
      <c r="F352" s="54"/>
      <c r="G352" s="54"/>
      <c r="H352" s="54"/>
      <c r="I352" s="54"/>
      <c r="J352" s="54"/>
      <c r="L352" s="39"/>
      <c r="M352" s="41"/>
      <c r="N352" s="41"/>
      <c r="O352" s="41"/>
      <c r="P352" s="41"/>
      <c r="Q352" s="41"/>
      <c r="R352" s="41"/>
      <c r="S352" s="41"/>
      <c r="T352" s="41"/>
    </row>
    <row r="353" spans="2:20" s="45" customFormat="1" ht="13.8" x14ac:dyDescent="0.3">
      <c r="B353" s="54"/>
      <c r="C353" s="54"/>
      <c r="D353" s="54"/>
      <c r="E353" s="54"/>
      <c r="F353" s="54"/>
      <c r="G353" s="54"/>
      <c r="H353" s="54"/>
      <c r="I353" s="54"/>
      <c r="J353" s="54"/>
      <c r="L353" s="39"/>
      <c r="M353" s="41"/>
      <c r="N353" s="41"/>
      <c r="O353" s="41"/>
      <c r="P353" s="41"/>
      <c r="Q353" s="41"/>
      <c r="R353" s="41"/>
      <c r="S353" s="41"/>
      <c r="T353" s="41"/>
    </row>
    <row r="354" spans="2:20" s="45" customFormat="1" ht="13.8" x14ac:dyDescent="0.3">
      <c r="B354" s="54"/>
      <c r="C354" s="54"/>
      <c r="D354" s="54"/>
      <c r="E354" s="54"/>
      <c r="F354" s="54"/>
      <c r="G354" s="54"/>
      <c r="H354" s="54"/>
      <c r="I354" s="54"/>
      <c r="J354" s="54"/>
      <c r="L354" s="39"/>
      <c r="M354" s="41"/>
      <c r="N354" s="41"/>
      <c r="O354" s="41"/>
      <c r="P354" s="41"/>
      <c r="Q354" s="41"/>
      <c r="R354" s="41"/>
      <c r="S354" s="41"/>
      <c r="T354" s="41"/>
    </row>
    <row r="355" spans="2:20" s="45" customFormat="1" ht="13.8" x14ac:dyDescent="0.3">
      <c r="B355" s="54"/>
      <c r="C355" s="54"/>
      <c r="D355" s="54"/>
      <c r="E355" s="54"/>
      <c r="F355" s="54"/>
      <c r="G355" s="54"/>
      <c r="H355" s="54"/>
      <c r="I355" s="54"/>
      <c r="J355" s="54"/>
      <c r="L355" s="39"/>
      <c r="M355" s="41"/>
      <c r="N355" s="41"/>
      <c r="O355" s="41"/>
      <c r="P355" s="41"/>
      <c r="Q355" s="41"/>
      <c r="R355" s="41"/>
      <c r="S355" s="41"/>
      <c r="T355" s="41"/>
    </row>
    <row r="356" spans="2:20" s="45" customFormat="1" ht="13.8" x14ac:dyDescent="0.3">
      <c r="B356" s="54"/>
      <c r="C356" s="54"/>
      <c r="D356" s="54"/>
      <c r="E356" s="54"/>
      <c r="F356" s="54"/>
      <c r="G356" s="54"/>
      <c r="H356" s="54"/>
      <c r="I356" s="54"/>
      <c r="J356" s="54"/>
      <c r="L356" s="39"/>
      <c r="M356" s="41"/>
      <c r="N356" s="41"/>
      <c r="O356" s="41"/>
      <c r="P356" s="41"/>
      <c r="Q356" s="41"/>
      <c r="R356" s="41"/>
      <c r="S356" s="41"/>
      <c r="T356" s="41"/>
    </row>
    <row r="357" spans="2:20" s="45" customFormat="1" ht="13.8" x14ac:dyDescent="0.3">
      <c r="B357" s="54"/>
      <c r="C357" s="54"/>
      <c r="D357" s="54"/>
      <c r="E357" s="54"/>
      <c r="F357" s="54"/>
      <c r="G357" s="54"/>
      <c r="H357" s="54"/>
      <c r="I357" s="54"/>
      <c r="J357" s="54"/>
      <c r="L357" s="39"/>
      <c r="M357" s="41"/>
      <c r="N357" s="41"/>
      <c r="O357" s="41"/>
      <c r="P357" s="41"/>
      <c r="Q357" s="41"/>
      <c r="R357" s="41"/>
      <c r="S357" s="41"/>
      <c r="T357" s="41"/>
    </row>
    <row r="358" spans="2:20" s="45" customFormat="1" ht="13.8" x14ac:dyDescent="0.3">
      <c r="B358" s="54"/>
      <c r="C358" s="54"/>
      <c r="D358" s="54"/>
      <c r="E358" s="54"/>
      <c r="F358" s="54"/>
      <c r="G358" s="54"/>
      <c r="H358" s="54"/>
      <c r="I358" s="54"/>
      <c r="J358" s="54"/>
      <c r="L358" s="39"/>
      <c r="M358" s="41"/>
      <c r="N358" s="41"/>
      <c r="O358" s="41"/>
      <c r="P358" s="41"/>
      <c r="Q358" s="41"/>
      <c r="R358" s="41"/>
      <c r="S358" s="41"/>
      <c r="T358" s="41"/>
    </row>
    <row r="359" spans="2:20" s="45" customFormat="1" ht="13.8" x14ac:dyDescent="0.3">
      <c r="B359" s="54"/>
      <c r="C359" s="54"/>
      <c r="D359" s="54"/>
      <c r="E359" s="54"/>
      <c r="F359" s="54"/>
      <c r="G359" s="54"/>
      <c r="H359" s="54"/>
      <c r="I359" s="54"/>
      <c r="J359" s="54"/>
      <c r="L359" s="39"/>
      <c r="M359" s="41"/>
      <c r="N359" s="41"/>
      <c r="O359" s="41"/>
      <c r="P359" s="41"/>
      <c r="Q359" s="41"/>
      <c r="R359" s="41"/>
      <c r="S359" s="41"/>
      <c r="T359" s="41"/>
    </row>
    <row r="360" spans="2:20" s="45" customFormat="1" ht="13.8" x14ac:dyDescent="0.3">
      <c r="B360" s="54"/>
      <c r="C360" s="54"/>
      <c r="D360" s="54"/>
      <c r="E360" s="54"/>
      <c r="F360" s="54"/>
      <c r="G360" s="54"/>
      <c r="H360" s="54"/>
      <c r="I360" s="54"/>
      <c r="J360" s="54"/>
      <c r="L360" s="39"/>
      <c r="M360" s="41"/>
      <c r="N360" s="41"/>
      <c r="O360" s="41"/>
      <c r="P360" s="41"/>
      <c r="Q360" s="41"/>
      <c r="R360" s="41"/>
      <c r="S360" s="41"/>
      <c r="T360" s="41"/>
    </row>
    <row r="361" spans="2:20" s="45" customFormat="1" ht="13.8" x14ac:dyDescent="0.3">
      <c r="B361" s="54"/>
      <c r="C361" s="54"/>
      <c r="D361" s="54"/>
      <c r="E361" s="54"/>
      <c r="F361" s="54"/>
      <c r="G361" s="54"/>
      <c r="H361" s="54"/>
      <c r="I361" s="54"/>
      <c r="J361" s="54"/>
      <c r="L361" s="39"/>
      <c r="M361" s="41"/>
      <c r="N361" s="41"/>
      <c r="O361" s="41"/>
      <c r="P361" s="41"/>
      <c r="Q361" s="41"/>
      <c r="R361" s="41"/>
      <c r="S361" s="41"/>
      <c r="T361" s="41"/>
    </row>
    <row r="362" spans="2:20" s="45" customFormat="1" ht="13.8" x14ac:dyDescent="0.3">
      <c r="B362" s="54"/>
      <c r="C362" s="54"/>
      <c r="D362" s="54"/>
      <c r="E362" s="54"/>
      <c r="F362" s="54"/>
      <c r="G362" s="54"/>
      <c r="H362" s="54"/>
      <c r="I362" s="54"/>
      <c r="J362" s="54"/>
      <c r="L362" s="39"/>
      <c r="M362" s="41"/>
      <c r="N362" s="41"/>
      <c r="O362" s="41"/>
      <c r="P362" s="41"/>
      <c r="Q362" s="41"/>
      <c r="R362" s="41"/>
      <c r="S362" s="41"/>
      <c r="T362" s="41"/>
    </row>
    <row r="363" spans="2:20" s="45" customFormat="1" ht="13.8" x14ac:dyDescent="0.3">
      <c r="B363" s="54"/>
      <c r="C363" s="54"/>
      <c r="D363" s="54"/>
      <c r="E363" s="54"/>
      <c r="F363" s="54"/>
      <c r="G363" s="54"/>
      <c r="H363" s="54"/>
      <c r="I363" s="54"/>
      <c r="J363" s="54"/>
      <c r="L363" s="39"/>
      <c r="M363" s="41"/>
      <c r="N363" s="41"/>
      <c r="O363" s="41"/>
      <c r="P363" s="41"/>
      <c r="Q363" s="41"/>
      <c r="R363" s="41"/>
      <c r="S363" s="41"/>
      <c r="T363" s="41"/>
    </row>
    <row r="364" spans="2:20" s="45" customFormat="1" ht="13.8" x14ac:dyDescent="0.3">
      <c r="B364" s="54"/>
      <c r="C364" s="54"/>
      <c r="D364" s="54"/>
      <c r="E364" s="54"/>
      <c r="F364" s="54"/>
      <c r="G364" s="54"/>
      <c r="H364" s="54"/>
      <c r="I364" s="54"/>
      <c r="J364" s="54"/>
      <c r="L364" s="39"/>
      <c r="M364" s="41"/>
      <c r="N364" s="41"/>
      <c r="O364" s="41"/>
      <c r="P364" s="41"/>
      <c r="Q364" s="41"/>
      <c r="R364" s="41"/>
      <c r="S364" s="41"/>
      <c r="T364" s="41"/>
    </row>
    <row r="365" spans="2:20" s="45" customFormat="1" ht="13.8" x14ac:dyDescent="0.3">
      <c r="B365" s="54"/>
      <c r="C365" s="54"/>
      <c r="D365" s="54"/>
      <c r="E365" s="54"/>
      <c r="F365" s="54"/>
      <c r="G365" s="54"/>
      <c r="H365" s="54"/>
      <c r="I365" s="54"/>
      <c r="J365" s="54"/>
      <c r="L365" s="39"/>
      <c r="M365" s="41"/>
      <c r="N365" s="41"/>
      <c r="O365" s="41"/>
      <c r="P365" s="41"/>
      <c r="Q365" s="41"/>
      <c r="R365" s="41"/>
      <c r="S365" s="41"/>
      <c r="T365" s="41"/>
    </row>
    <row r="366" spans="2:20" s="45" customFormat="1" ht="12.75" customHeight="1" x14ac:dyDescent="0.3">
      <c r="C366" s="53" t="str">
        <f>"Figure "&amp;$B$4&amp;"-"&amp;SUM($S$1:S366)&amp;":"</f>
        <v>Figure 3-6:</v>
      </c>
      <c r="D366" s="110" t="s">
        <v>120</v>
      </c>
      <c r="E366" s="110"/>
      <c r="F366" s="110"/>
      <c r="G366" s="110"/>
      <c r="H366" s="110"/>
      <c r="I366" s="110"/>
      <c r="J366" s="110"/>
      <c r="M366" s="56"/>
      <c r="N366" s="56"/>
      <c r="O366" s="56"/>
      <c r="P366" s="56"/>
      <c r="Q366" s="57"/>
      <c r="R366" s="57"/>
      <c r="S366" s="57">
        <v>1</v>
      </c>
      <c r="T366" s="58"/>
    </row>
    <row r="367" spans="2:20" s="45" customFormat="1" ht="13.8" x14ac:dyDescent="0.3">
      <c r="B367" s="54"/>
      <c r="C367" s="54"/>
      <c r="D367" s="110"/>
      <c r="E367" s="110"/>
      <c r="F367" s="110"/>
      <c r="G367" s="110"/>
      <c r="H367" s="110"/>
      <c r="I367" s="110"/>
      <c r="J367" s="110"/>
      <c r="L367" s="39"/>
      <c r="M367" s="41"/>
      <c r="N367" s="41"/>
      <c r="O367" s="41"/>
      <c r="P367" s="41"/>
      <c r="Q367" s="41"/>
      <c r="R367" s="41"/>
      <c r="S367" s="41"/>
      <c r="T367" s="41"/>
    </row>
    <row r="368" spans="2:20" s="45" customFormat="1" ht="13.8" x14ac:dyDescent="0.3">
      <c r="B368" s="54"/>
      <c r="C368" s="54"/>
      <c r="D368" s="110"/>
      <c r="E368" s="110"/>
      <c r="F368" s="110"/>
      <c r="G368" s="110"/>
      <c r="H368" s="110"/>
      <c r="I368" s="110"/>
      <c r="J368" s="110"/>
      <c r="L368" s="39"/>
      <c r="M368" s="41"/>
      <c r="N368" s="41"/>
      <c r="O368" s="41"/>
      <c r="P368" s="41"/>
      <c r="Q368" s="41"/>
      <c r="R368" s="41"/>
      <c r="S368" s="41"/>
      <c r="T368" s="41"/>
    </row>
    <row r="369" spans="2:20" s="45" customFormat="1" ht="13.8" x14ac:dyDescent="0.3">
      <c r="B369" s="54"/>
      <c r="C369" s="54"/>
      <c r="D369" s="110"/>
      <c r="E369" s="110"/>
      <c r="F369" s="110"/>
      <c r="G369" s="110"/>
      <c r="H369" s="110"/>
      <c r="I369" s="110"/>
      <c r="J369" s="110"/>
      <c r="L369" s="39"/>
      <c r="M369" s="41"/>
      <c r="N369" s="41"/>
      <c r="O369" s="41"/>
      <c r="P369" s="41"/>
      <c r="Q369" s="41"/>
      <c r="R369" s="41"/>
      <c r="S369" s="41"/>
      <c r="T369" s="41"/>
    </row>
    <row r="370" spans="2:20" s="45" customFormat="1" ht="13.8" x14ac:dyDescent="0.3">
      <c r="B370" s="54"/>
      <c r="C370" s="54"/>
      <c r="D370" s="54"/>
      <c r="E370" s="54"/>
      <c r="F370" s="54"/>
      <c r="G370" s="54"/>
      <c r="H370" s="54"/>
      <c r="I370" s="54"/>
      <c r="J370" s="54"/>
      <c r="L370" s="39"/>
      <c r="M370" s="41"/>
      <c r="N370" s="41"/>
      <c r="O370" s="41"/>
      <c r="P370" s="41"/>
      <c r="Q370" s="41"/>
      <c r="R370" s="41"/>
      <c r="S370" s="41"/>
      <c r="T370" s="41"/>
    </row>
    <row r="371" spans="2:20" s="45" customFormat="1" ht="13.8" x14ac:dyDescent="0.3">
      <c r="B371" s="54" t="s">
        <v>111</v>
      </c>
      <c r="C371" s="54"/>
      <c r="D371" s="54"/>
      <c r="E371" s="54"/>
      <c r="F371" s="54"/>
      <c r="G371" s="54"/>
      <c r="H371" s="54"/>
      <c r="I371" s="54"/>
      <c r="J371" s="54"/>
      <c r="L371" s="39"/>
      <c r="M371" s="41"/>
      <c r="N371" s="41"/>
      <c r="O371" s="41"/>
      <c r="P371" s="41"/>
      <c r="Q371" s="41"/>
      <c r="R371" s="41"/>
      <c r="S371" s="41"/>
      <c r="T371" s="41"/>
    </row>
    <row r="372" spans="2:20" s="45" customFormat="1" ht="13.8" x14ac:dyDescent="0.3">
      <c r="B372" s="54" t="s">
        <v>121</v>
      </c>
      <c r="C372" s="54"/>
      <c r="D372" s="54"/>
      <c r="E372" s="54"/>
      <c r="F372" s="54"/>
      <c r="G372" s="54"/>
      <c r="H372" s="54"/>
      <c r="I372" s="54"/>
      <c r="J372" s="54"/>
      <c r="L372" s="39"/>
      <c r="M372" s="41"/>
      <c r="N372" s="41"/>
      <c r="O372" s="41"/>
      <c r="P372" s="41"/>
      <c r="Q372" s="41"/>
      <c r="R372" s="41"/>
      <c r="S372" s="41"/>
      <c r="T372" s="41"/>
    </row>
    <row r="373" spans="2:20" s="45" customFormat="1" ht="13.8" x14ac:dyDescent="0.3">
      <c r="B373" s="54"/>
      <c r="C373" s="54"/>
      <c r="D373" s="54"/>
      <c r="E373" s="54"/>
      <c r="F373" s="54"/>
      <c r="G373" s="54"/>
      <c r="H373" s="54"/>
      <c r="I373" s="54"/>
      <c r="J373" s="54"/>
      <c r="L373" s="39"/>
      <c r="M373" s="41"/>
      <c r="N373" s="41"/>
      <c r="O373" s="41"/>
      <c r="P373" s="41"/>
      <c r="Q373" s="41"/>
      <c r="R373" s="41"/>
      <c r="S373" s="41"/>
      <c r="T373" s="41"/>
    </row>
    <row r="374" spans="2:20" s="45" customFormat="1" ht="13.8" x14ac:dyDescent="0.3">
      <c r="B374" s="45" t="s">
        <v>155</v>
      </c>
      <c r="J374" s="54"/>
      <c r="L374" s="39"/>
      <c r="M374" s="41"/>
      <c r="N374" s="41"/>
      <c r="O374" s="41"/>
      <c r="P374" s="41"/>
      <c r="Q374" s="41"/>
      <c r="R374" s="41"/>
      <c r="S374" s="41"/>
      <c r="T374" s="41"/>
    </row>
    <row r="375" spans="2:20" s="45" customFormat="1" ht="13.8" x14ac:dyDescent="0.3">
      <c r="B375" s="75" t="s">
        <v>122</v>
      </c>
      <c r="C375" s="76"/>
      <c r="E375" s="77" t="s">
        <v>123</v>
      </c>
      <c r="F375" s="76"/>
      <c r="H375" s="77" t="s">
        <v>124</v>
      </c>
      <c r="J375" s="54"/>
      <c r="L375" s="39"/>
      <c r="M375" s="41"/>
      <c r="N375" s="41"/>
      <c r="O375" s="41"/>
      <c r="P375" s="41"/>
      <c r="Q375" s="41"/>
      <c r="R375" s="41"/>
      <c r="S375" s="41"/>
      <c r="T375" s="41"/>
    </row>
    <row r="376" spans="2:20" s="45" customFormat="1" ht="13.8" x14ac:dyDescent="0.3">
      <c r="B376" s="78" t="s">
        <v>125</v>
      </c>
      <c r="C376" s="79"/>
      <c r="D376" s="80"/>
      <c r="E376" s="81" t="s">
        <v>126</v>
      </c>
      <c r="F376" s="79"/>
      <c r="G376" s="80"/>
      <c r="H376" s="81" t="s">
        <v>127</v>
      </c>
      <c r="J376" s="54"/>
      <c r="L376" s="39"/>
      <c r="M376" s="41"/>
      <c r="N376" s="41"/>
      <c r="O376" s="41"/>
      <c r="P376" s="41"/>
      <c r="Q376" s="41"/>
      <c r="R376" s="41"/>
      <c r="S376" s="41"/>
      <c r="T376" s="41"/>
    </row>
    <row r="377" spans="2:20" s="45" customFormat="1" ht="13.8" x14ac:dyDescent="0.3">
      <c r="B377" s="78" t="s">
        <v>128</v>
      </c>
      <c r="C377" s="79"/>
      <c r="D377" s="80"/>
      <c r="E377" s="81" t="s">
        <v>129</v>
      </c>
      <c r="F377" s="79"/>
      <c r="G377" s="80"/>
      <c r="H377" s="81" t="s">
        <v>129</v>
      </c>
      <c r="J377" s="54"/>
      <c r="L377" s="39"/>
      <c r="M377" s="41"/>
      <c r="N377" s="41"/>
      <c r="O377" s="41"/>
      <c r="P377" s="41"/>
      <c r="Q377" s="41"/>
      <c r="R377" s="41"/>
      <c r="S377" s="41"/>
      <c r="T377" s="41"/>
    </row>
    <row r="378" spans="2:20" s="45" customFormat="1" ht="13.8" x14ac:dyDescent="0.3">
      <c r="B378" s="78" t="s">
        <v>130</v>
      </c>
      <c r="C378" s="79"/>
      <c r="D378" s="80"/>
      <c r="E378" s="81" t="s">
        <v>131</v>
      </c>
      <c r="F378" s="79"/>
      <c r="G378" s="80"/>
      <c r="H378" s="81" t="s">
        <v>131</v>
      </c>
      <c r="J378" s="54"/>
      <c r="L378" s="39"/>
      <c r="M378" s="41"/>
      <c r="N378" s="41"/>
      <c r="O378" s="41"/>
      <c r="P378" s="41"/>
      <c r="Q378" s="41"/>
      <c r="R378" s="41"/>
      <c r="S378" s="41"/>
      <c r="T378" s="41"/>
    </row>
    <row r="379" spans="2:20" s="45" customFormat="1" ht="13.8" x14ac:dyDescent="0.3">
      <c r="B379" s="78" t="s">
        <v>132</v>
      </c>
      <c r="C379" s="79"/>
      <c r="D379" s="80"/>
      <c r="E379" s="81" t="s">
        <v>133</v>
      </c>
      <c r="F379" s="79"/>
      <c r="G379" s="80"/>
      <c r="H379" s="81" t="s">
        <v>134</v>
      </c>
      <c r="J379" s="54"/>
      <c r="L379" s="39"/>
      <c r="M379" s="41"/>
      <c r="N379" s="41"/>
      <c r="O379" s="41"/>
      <c r="P379" s="41"/>
      <c r="Q379" s="41"/>
      <c r="R379" s="41"/>
      <c r="S379" s="41"/>
      <c r="T379" s="41"/>
    </row>
    <row r="380" spans="2:20" s="45" customFormat="1" ht="13.8" x14ac:dyDescent="0.3">
      <c r="B380" s="78" t="s">
        <v>135</v>
      </c>
      <c r="C380" s="79"/>
      <c r="D380" s="80"/>
      <c r="E380" s="81" t="s">
        <v>136</v>
      </c>
      <c r="F380" s="79"/>
      <c r="G380" s="80"/>
      <c r="H380" s="81" t="s">
        <v>137</v>
      </c>
      <c r="J380" s="54"/>
      <c r="L380" s="39"/>
      <c r="M380" s="41"/>
      <c r="N380" s="41"/>
      <c r="O380" s="41"/>
      <c r="P380" s="41"/>
      <c r="Q380" s="41"/>
      <c r="R380" s="41"/>
      <c r="S380" s="41"/>
      <c r="T380" s="41"/>
    </row>
    <row r="381" spans="2:20" s="45" customFormat="1" ht="13.8" x14ac:dyDescent="0.3">
      <c r="B381" s="78" t="s">
        <v>138</v>
      </c>
      <c r="C381" s="79"/>
      <c r="D381" s="80"/>
      <c r="E381" s="81" t="s">
        <v>139</v>
      </c>
      <c r="F381" s="79"/>
      <c r="G381" s="80"/>
      <c r="H381" s="81" t="s">
        <v>140</v>
      </c>
      <c r="J381" s="54"/>
      <c r="L381" s="39"/>
      <c r="M381" s="41"/>
      <c r="N381" s="41"/>
      <c r="O381" s="41"/>
      <c r="P381" s="41"/>
      <c r="Q381" s="41"/>
      <c r="R381" s="41"/>
      <c r="S381" s="41"/>
      <c r="T381" s="41"/>
    </row>
    <row r="382" spans="2:20" s="45" customFormat="1" ht="13.8" x14ac:dyDescent="0.3">
      <c r="B382" s="78" t="s">
        <v>141</v>
      </c>
      <c r="C382" s="79"/>
      <c r="D382" s="80"/>
      <c r="E382" s="81" t="s">
        <v>142</v>
      </c>
      <c r="F382" s="79"/>
      <c r="G382" s="80"/>
      <c r="H382" s="81" t="s">
        <v>143</v>
      </c>
      <c r="J382" s="54"/>
      <c r="L382" s="39"/>
      <c r="M382" s="41"/>
      <c r="N382" s="41"/>
      <c r="O382" s="41"/>
      <c r="P382" s="41"/>
      <c r="Q382" s="41"/>
      <c r="R382" s="41"/>
      <c r="S382" s="41"/>
      <c r="T382" s="41"/>
    </row>
    <row r="383" spans="2:20" s="45" customFormat="1" ht="13.8" x14ac:dyDescent="0.3">
      <c r="B383" s="78" t="s">
        <v>144</v>
      </c>
      <c r="C383" s="79"/>
      <c r="D383" s="80"/>
      <c r="E383" s="81" t="s">
        <v>145</v>
      </c>
      <c r="F383" s="79"/>
      <c r="G383" s="80"/>
      <c r="H383" s="81" t="s">
        <v>146</v>
      </c>
      <c r="J383" s="54"/>
      <c r="L383" s="39"/>
      <c r="M383" s="41"/>
      <c r="N383" s="41"/>
      <c r="O383" s="41"/>
      <c r="P383" s="41"/>
      <c r="Q383" s="41"/>
      <c r="R383" s="41"/>
      <c r="S383" s="41"/>
      <c r="T383" s="41"/>
    </row>
    <row r="384" spans="2:20" s="45" customFormat="1" ht="13.8" x14ac:dyDescent="0.3">
      <c r="B384" s="82" t="s">
        <v>147</v>
      </c>
      <c r="C384" s="79"/>
      <c r="D384" s="80"/>
      <c r="E384" s="81" t="s">
        <v>148</v>
      </c>
      <c r="F384" s="79"/>
      <c r="G384" s="80"/>
      <c r="H384" s="81" t="s">
        <v>148</v>
      </c>
      <c r="J384" s="54"/>
      <c r="L384" s="39"/>
      <c r="M384" s="41"/>
      <c r="N384" s="41"/>
      <c r="O384" s="41"/>
      <c r="P384" s="41"/>
      <c r="Q384" s="41"/>
      <c r="R384" s="41"/>
      <c r="S384" s="41"/>
      <c r="T384" s="41"/>
    </row>
    <row r="385" spans="1:20" s="45" customFormat="1" ht="13.8" x14ac:dyDescent="0.3">
      <c r="B385" s="78" t="s">
        <v>149</v>
      </c>
      <c r="C385" s="79"/>
      <c r="D385" s="80"/>
      <c r="E385" s="81" t="s">
        <v>150</v>
      </c>
      <c r="F385" s="79"/>
      <c r="G385" s="80"/>
      <c r="H385" s="81" t="s">
        <v>150</v>
      </c>
      <c r="J385" s="54"/>
      <c r="L385" s="39"/>
      <c r="M385" s="41"/>
      <c r="N385" s="41"/>
      <c r="O385" s="41"/>
      <c r="P385" s="41"/>
      <c r="Q385" s="41"/>
      <c r="R385" s="41"/>
      <c r="S385" s="41"/>
      <c r="T385" s="41"/>
    </row>
    <row r="386" spans="1:20" s="45" customFormat="1" ht="13.8" x14ac:dyDescent="0.3">
      <c r="B386" s="78" t="s">
        <v>151</v>
      </c>
      <c r="C386" s="79"/>
      <c r="D386" s="80"/>
      <c r="E386" s="81" t="s">
        <v>152</v>
      </c>
      <c r="F386" s="79"/>
      <c r="G386" s="80"/>
      <c r="H386" s="81" t="s">
        <v>153</v>
      </c>
      <c r="L386" s="39"/>
      <c r="M386" s="41"/>
      <c r="N386" s="41"/>
      <c r="O386" s="41"/>
      <c r="P386" s="41"/>
      <c r="Q386" s="41"/>
      <c r="R386" s="41"/>
      <c r="S386" s="41"/>
      <c r="T386" s="41"/>
    </row>
    <row r="387" spans="1:20" s="45" customFormat="1" ht="13.8" x14ac:dyDescent="0.3">
      <c r="B387" s="48"/>
      <c r="C387" s="39"/>
      <c r="H387" s="48"/>
      <c r="I387" s="59"/>
      <c r="L387" s="39"/>
      <c r="M387" s="41"/>
      <c r="N387" s="41"/>
      <c r="O387" s="41"/>
      <c r="P387" s="41"/>
      <c r="Q387" s="41"/>
      <c r="R387" s="41"/>
      <c r="S387" s="41"/>
      <c r="T387" s="41"/>
    </row>
    <row r="388" spans="1:20" s="45" customFormat="1" ht="13.8" x14ac:dyDescent="0.3">
      <c r="B388" s="109" t="s">
        <v>171</v>
      </c>
      <c r="C388" s="109"/>
      <c r="D388" s="109"/>
      <c r="E388" s="109"/>
      <c r="F388" s="109"/>
      <c r="G388" s="109"/>
      <c r="H388" s="109"/>
      <c r="I388" s="109"/>
      <c r="J388" s="109"/>
      <c r="L388" s="39"/>
      <c r="M388" s="41"/>
      <c r="N388" s="41"/>
      <c r="O388" s="41"/>
      <c r="P388" s="41"/>
      <c r="Q388" s="41"/>
      <c r="R388" s="41"/>
      <c r="S388" s="41"/>
      <c r="T388" s="41"/>
    </row>
    <row r="389" spans="1:20" s="45" customFormat="1" ht="13.8" x14ac:dyDescent="0.3">
      <c r="B389" s="109"/>
      <c r="C389" s="109"/>
      <c r="D389" s="109"/>
      <c r="E389" s="109"/>
      <c r="F389" s="109"/>
      <c r="G389" s="109"/>
      <c r="H389" s="109"/>
      <c r="I389" s="109"/>
      <c r="J389" s="109"/>
      <c r="L389" s="39"/>
      <c r="M389" s="41"/>
      <c r="N389" s="41"/>
      <c r="O389" s="41"/>
      <c r="P389" s="41"/>
      <c r="Q389" s="41"/>
      <c r="R389" s="41"/>
      <c r="S389" s="41"/>
      <c r="T389" s="41"/>
    </row>
    <row r="390" spans="1:20" s="45" customFormat="1" ht="13.8" x14ac:dyDescent="0.3">
      <c r="B390" s="109"/>
      <c r="C390" s="109"/>
      <c r="D390" s="109"/>
      <c r="E390" s="109"/>
      <c r="F390" s="109"/>
      <c r="G390" s="109"/>
      <c r="H390" s="109"/>
      <c r="I390" s="109"/>
      <c r="J390" s="109"/>
      <c r="L390" s="39"/>
      <c r="M390" s="41"/>
      <c r="N390" s="41"/>
      <c r="O390" s="41"/>
      <c r="P390" s="41"/>
      <c r="Q390" s="41"/>
      <c r="R390" s="41"/>
      <c r="S390" s="41"/>
      <c r="T390" s="41"/>
    </row>
    <row r="391" spans="1:20" s="45" customFormat="1" ht="13.8" x14ac:dyDescent="0.3">
      <c r="H391" s="50"/>
      <c r="I391" s="53"/>
      <c r="J391" s="51"/>
      <c r="K391" s="52"/>
      <c r="L391" s="39"/>
      <c r="M391" s="41"/>
      <c r="N391" s="41"/>
      <c r="O391" s="41"/>
      <c r="P391" s="41"/>
      <c r="Q391" s="41"/>
      <c r="R391" s="41"/>
      <c r="S391" s="41"/>
      <c r="T391" s="41"/>
    </row>
    <row r="392" spans="1:20" s="45" customFormat="1" ht="13.8" x14ac:dyDescent="0.3">
      <c r="H392" s="50"/>
      <c r="I392" s="53"/>
      <c r="J392" s="52"/>
      <c r="K392" s="52"/>
      <c r="L392" s="39"/>
      <c r="M392" s="41"/>
      <c r="N392" s="41"/>
      <c r="O392" s="41"/>
      <c r="P392" s="41"/>
      <c r="Q392" s="41"/>
      <c r="R392" s="41"/>
      <c r="S392" s="41"/>
      <c r="T392" s="41"/>
    </row>
    <row r="393" spans="1:20" s="45" customFormat="1" ht="13.8" x14ac:dyDescent="0.3">
      <c r="H393" s="50"/>
      <c r="I393" s="53"/>
      <c r="J393" s="49"/>
      <c r="K393" s="50"/>
      <c r="L393" s="39"/>
      <c r="M393" s="41"/>
      <c r="N393" s="41"/>
      <c r="O393" s="41"/>
      <c r="P393" s="41"/>
      <c r="Q393" s="41"/>
      <c r="R393" s="41"/>
      <c r="S393" s="41"/>
      <c r="T393" s="41"/>
    </row>
    <row r="394" spans="1:20" x14ac:dyDescent="0.3">
      <c r="A394" s="45"/>
      <c r="B394" s="45"/>
      <c r="C394" s="45"/>
      <c r="D394" s="45"/>
      <c r="E394" s="45"/>
      <c r="F394" s="45"/>
      <c r="G394" s="45"/>
      <c r="H394" s="45"/>
      <c r="I394" s="53"/>
      <c r="J394" s="49"/>
      <c r="K394" s="45"/>
    </row>
    <row r="395" spans="1:20" x14ac:dyDescent="0.3">
      <c r="B395" s="38"/>
    </row>
    <row r="397" spans="1:20" x14ac:dyDescent="0.3">
      <c r="B397" s="83"/>
      <c r="C397" s="83"/>
      <c r="D397" s="83"/>
      <c r="E397" s="83"/>
      <c r="F397" s="83"/>
      <c r="G397" s="83"/>
      <c r="H397" s="83"/>
      <c r="I397" s="83"/>
      <c r="J397" s="83"/>
    </row>
    <row r="398" spans="1:20" x14ac:dyDescent="0.3">
      <c r="B398" s="83"/>
      <c r="C398" s="83"/>
      <c r="D398" s="83"/>
      <c r="E398" s="83"/>
      <c r="F398" s="83"/>
      <c r="G398" s="83"/>
      <c r="H398" s="83"/>
      <c r="I398" s="83"/>
      <c r="J398" s="83"/>
    </row>
    <row r="399" spans="1:20" x14ac:dyDescent="0.3">
      <c r="B399" s="83"/>
      <c r="C399" s="83"/>
      <c r="D399" s="83"/>
      <c r="E399" s="83"/>
      <c r="F399" s="83"/>
      <c r="G399" s="83"/>
      <c r="H399" s="83"/>
      <c r="I399" s="83"/>
      <c r="J399" s="83"/>
    </row>
    <row r="400" spans="1:20" x14ac:dyDescent="0.3">
      <c r="B400" s="83"/>
      <c r="C400" s="83"/>
      <c r="D400" s="83"/>
      <c r="E400" s="83"/>
      <c r="F400" s="83"/>
      <c r="G400" s="83"/>
      <c r="H400" s="83"/>
      <c r="I400" s="83"/>
      <c r="J400" s="83"/>
    </row>
    <row r="401" spans="1:20" x14ac:dyDescent="0.3">
      <c r="B401" s="83"/>
      <c r="C401" s="83"/>
      <c r="D401" s="83"/>
      <c r="E401" s="83"/>
      <c r="F401" s="83"/>
      <c r="G401" s="83"/>
      <c r="H401" s="83"/>
      <c r="I401" s="83"/>
      <c r="J401" s="83"/>
    </row>
    <row r="402" spans="1:20" x14ac:dyDescent="0.3">
      <c r="B402" s="83"/>
      <c r="C402" s="83"/>
      <c r="D402" s="83"/>
      <c r="E402" s="83"/>
      <c r="F402" s="83"/>
      <c r="G402" s="83"/>
      <c r="H402" s="83"/>
      <c r="I402" s="83"/>
      <c r="J402" s="83"/>
    </row>
    <row r="403" spans="1:20" x14ac:dyDescent="0.3">
      <c r="B403" s="83"/>
      <c r="C403" s="83"/>
      <c r="D403" s="83"/>
      <c r="E403" s="83"/>
      <c r="F403" s="83"/>
      <c r="G403" s="83"/>
      <c r="H403" s="83"/>
      <c r="I403" s="83"/>
      <c r="J403" s="83"/>
    </row>
    <row r="404" spans="1:20" x14ac:dyDescent="0.3">
      <c r="B404" s="83"/>
      <c r="C404" s="83"/>
      <c r="D404" s="83"/>
      <c r="E404" s="83"/>
      <c r="F404" s="83"/>
      <c r="G404" s="83"/>
      <c r="H404" s="83"/>
      <c r="I404" s="83"/>
      <c r="J404" s="83"/>
    </row>
    <row r="405" spans="1:20" x14ac:dyDescent="0.3">
      <c r="B405" s="83"/>
      <c r="C405" s="83"/>
      <c r="D405" s="83"/>
      <c r="E405" s="83"/>
      <c r="F405" s="83"/>
      <c r="G405" s="83"/>
      <c r="H405" s="83"/>
      <c r="I405" s="83"/>
      <c r="J405" s="83"/>
    </row>
    <row r="406" spans="1:20" x14ac:dyDescent="0.3">
      <c r="B406" s="83"/>
      <c r="C406" s="83"/>
      <c r="D406" s="83"/>
      <c r="E406" s="83"/>
      <c r="F406" s="83"/>
      <c r="G406" s="83"/>
      <c r="H406" s="83"/>
      <c r="I406" s="83"/>
      <c r="J406" s="83"/>
    </row>
    <row r="407" spans="1:20" x14ac:dyDescent="0.3">
      <c r="B407" s="83"/>
      <c r="C407" s="83"/>
      <c r="D407" s="83"/>
      <c r="E407" s="83"/>
      <c r="F407" s="83"/>
      <c r="G407" s="83"/>
      <c r="H407" s="83"/>
      <c r="I407" s="83"/>
      <c r="J407" s="83"/>
    </row>
    <row r="408" spans="1:20" s="39" customFormat="1" x14ac:dyDescent="0.3">
      <c r="A408" s="37"/>
      <c r="B408" s="83"/>
      <c r="C408" s="83"/>
      <c r="D408" s="83"/>
      <c r="E408" s="83"/>
      <c r="F408" s="83"/>
      <c r="G408" s="83"/>
      <c r="H408" s="83"/>
      <c r="I408" s="83"/>
      <c r="J408" s="83"/>
      <c r="K408" s="37"/>
      <c r="M408" s="41"/>
      <c r="N408" s="41"/>
      <c r="O408" s="41"/>
      <c r="P408" s="41"/>
      <c r="Q408" s="41"/>
      <c r="R408" s="41"/>
      <c r="S408" s="41"/>
      <c r="T408" s="41"/>
    </row>
    <row r="409" spans="1:20" s="39" customFormat="1" x14ac:dyDescent="0.3">
      <c r="A409" s="37"/>
      <c r="B409" s="83"/>
      <c r="C409" s="83"/>
      <c r="D409" s="83"/>
      <c r="E409" s="83"/>
      <c r="F409" s="83"/>
      <c r="G409" s="83"/>
      <c r="H409" s="83"/>
      <c r="I409" s="83"/>
      <c r="J409" s="83"/>
      <c r="K409" s="37"/>
      <c r="M409" s="41"/>
      <c r="N409" s="41"/>
      <c r="O409" s="41"/>
      <c r="P409" s="41"/>
      <c r="Q409" s="41"/>
      <c r="R409" s="41"/>
      <c r="S409" s="41"/>
      <c r="T409" s="41"/>
    </row>
    <row r="410" spans="1:20" s="39" customFormat="1" x14ac:dyDescent="0.3">
      <c r="A410" s="37"/>
      <c r="B410" s="83"/>
      <c r="C410" s="83"/>
      <c r="D410" s="83"/>
      <c r="E410" s="83"/>
      <c r="F410" s="83"/>
      <c r="G410" s="83"/>
      <c r="H410" s="83"/>
      <c r="I410" s="83"/>
      <c r="J410" s="83"/>
      <c r="K410" s="37"/>
      <c r="M410" s="41"/>
      <c r="N410" s="41"/>
      <c r="O410" s="41"/>
      <c r="P410" s="41"/>
      <c r="Q410" s="41"/>
      <c r="R410" s="41"/>
      <c r="S410" s="41"/>
      <c r="T410" s="41"/>
    </row>
    <row r="411" spans="1:20" s="39" customFormat="1" x14ac:dyDescent="0.3">
      <c r="A411" s="37"/>
      <c r="B411" s="83"/>
      <c r="C411" s="83"/>
      <c r="D411" s="83"/>
      <c r="E411" s="83"/>
      <c r="F411" s="83"/>
      <c r="G411" s="83"/>
      <c r="H411" s="83"/>
      <c r="I411" s="83"/>
      <c r="J411" s="83"/>
      <c r="K411" s="37"/>
      <c r="M411" s="41"/>
      <c r="N411" s="41"/>
      <c r="O411" s="41"/>
      <c r="P411" s="41"/>
      <c r="Q411" s="41"/>
      <c r="R411" s="41"/>
      <c r="S411" s="41"/>
      <c r="T411" s="41"/>
    </row>
    <row r="412" spans="1:20" s="39" customFormat="1" x14ac:dyDescent="0.3">
      <c r="A412" s="37"/>
      <c r="B412" s="83"/>
      <c r="C412" s="83"/>
      <c r="D412" s="83"/>
      <c r="E412" s="83"/>
      <c r="F412" s="83"/>
      <c r="G412" s="83"/>
      <c r="H412" s="83"/>
      <c r="I412" s="83"/>
      <c r="J412" s="83"/>
      <c r="K412" s="37"/>
      <c r="M412" s="41"/>
      <c r="N412" s="41"/>
      <c r="O412" s="41"/>
      <c r="P412" s="41"/>
      <c r="Q412" s="41"/>
      <c r="R412" s="41"/>
      <c r="S412" s="41"/>
      <c r="T412" s="41"/>
    </row>
    <row r="413" spans="1:20" s="39" customFormat="1" x14ac:dyDescent="0.3">
      <c r="A413" s="37"/>
      <c r="B413" s="83"/>
      <c r="C413" s="83"/>
      <c r="D413" s="83"/>
      <c r="E413" s="83"/>
      <c r="F413" s="83"/>
      <c r="G413" s="83"/>
      <c r="H413" s="83"/>
      <c r="I413" s="83"/>
      <c r="J413" s="83"/>
      <c r="K413" s="37"/>
      <c r="M413" s="41"/>
      <c r="N413" s="41"/>
      <c r="O413" s="41"/>
      <c r="P413" s="41"/>
      <c r="Q413" s="41"/>
      <c r="R413" s="41"/>
      <c r="S413" s="41"/>
      <c r="T413" s="41"/>
    </row>
    <row r="414" spans="1:20" s="39" customFormat="1" x14ac:dyDescent="0.3">
      <c r="A414" s="37"/>
      <c r="B414" s="83"/>
      <c r="C414" s="83"/>
      <c r="D414" s="83"/>
      <c r="E414" s="83"/>
      <c r="F414" s="83"/>
      <c r="G414" s="83"/>
      <c r="H414" s="83"/>
      <c r="I414" s="83"/>
      <c r="J414" s="83"/>
      <c r="K414" s="37"/>
      <c r="M414" s="41"/>
      <c r="N414" s="41"/>
      <c r="O414" s="41"/>
      <c r="P414" s="41"/>
      <c r="Q414" s="41"/>
      <c r="R414" s="41"/>
      <c r="S414" s="41"/>
      <c r="T414" s="41"/>
    </row>
    <row r="415" spans="1:20" s="39" customFormat="1" x14ac:dyDescent="0.3">
      <c r="A415" s="37"/>
      <c r="B415" s="83"/>
      <c r="C415" s="83"/>
      <c r="D415" s="83"/>
      <c r="E415" s="83"/>
      <c r="F415" s="83"/>
      <c r="G415" s="83"/>
      <c r="H415" s="83"/>
      <c r="I415" s="83"/>
      <c r="J415" s="83"/>
      <c r="K415" s="37"/>
      <c r="M415" s="41"/>
      <c r="N415" s="41"/>
      <c r="O415" s="41"/>
      <c r="P415" s="41"/>
      <c r="Q415" s="41"/>
      <c r="R415" s="41"/>
      <c r="S415" s="41"/>
      <c r="T415" s="41"/>
    </row>
    <row r="416" spans="1:20" s="39" customFormat="1" x14ac:dyDescent="0.3">
      <c r="A416" s="37"/>
      <c r="B416" s="83"/>
      <c r="C416" s="83"/>
      <c r="D416" s="83"/>
      <c r="E416" s="83"/>
      <c r="F416" s="83"/>
      <c r="G416" s="83"/>
      <c r="H416" s="83"/>
      <c r="I416" s="83"/>
      <c r="J416" s="83"/>
      <c r="K416" s="37"/>
      <c r="M416" s="41"/>
      <c r="N416" s="41"/>
      <c r="O416" s="41"/>
      <c r="P416" s="41"/>
      <c r="Q416" s="41"/>
      <c r="R416" s="41"/>
      <c r="S416" s="41"/>
      <c r="T416" s="41"/>
    </row>
    <row r="417" spans="1:20" s="39" customFormat="1" x14ac:dyDescent="0.3">
      <c r="A417" s="37"/>
      <c r="B417" s="83"/>
      <c r="C417" s="83"/>
      <c r="D417" s="83"/>
      <c r="E417" s="83"/>
      <c r="F417" s="83"/>
      <c r="G417" s="83"/>
      <c r="H417" s="83"/>
      <c r="I417" s="83"/>
      <c r="J417" s="83"/>
      <c r="K417" s="37"/>
      <c r="M417" s="41"/>
      <c r="N417" s="41"/>
      <c r="O417" s="41"/>
      <c r="P417" s="41"/>
      <c r="Q417" s="41"/>
      <c r="R417" s="41"/>
      <c r="S417" s="41"/>
      <c r="T417" s="41"/>
    </row>
    <row r="418" spans="1:20" s="39" customFormat="1" x14ac:dyDescent="0.3">
      <c r="A418" s="37"/>
      <c r="B418" s="83"/>
      <c r="C418" s="83"/>
      <c r="D418" s="83"/>
      <c r="E418" s="83"/>
      <c r="F418" s="83"/>
      <c r="G418" s="83"/>
      <c r="H418" s="83"/>
      <c r="I418" s="83"/>
      <c r="J418" s="83"/>
      <c r="K418" s="37"/>
      <c r="M418" s="41"/>
      <c r="N418" s="41"/>
      <c r="O418" s="41"/>
      <c r="P418" s="41"/>
      <c r="Q418" s="41"/>
      <c r="R418" s="41"/>
      <c r="S418" s="41"/>
      <c r="T418" s="41"/>
    </row>
    <row r="419" spans="1:20" s="39" customFormat="1" x14ac:dyDescent="0.3">
      <c r="A419" s="37"/>
      <c r="B419" s="83"/>
      <c r="C419" s="83"/>
      <c r="D419" s="83"/>
      <c r="E419" s="83"/>
      <c r="F419" s="83"/>
      <c r="G419" s="83"/>
      <c r="H419" s="83"/>
      <c r="I419" s="83"/>
      <c r="J419" s="83"/>
      <c r="K419" s="37"/>
      <c r="M419" s="41"/>
      <c r="N419" s="41"/>
      <c r="O419" s="41"/>
      <c r="P419" s="41"/>
      <c r="Q419" s="41"/>
      <c r="R419" s="41"/>
      <c r="S419" s="41"/>
      <c r="T419" s="41"/>
    </row>
    <row r="420" spans="1:20" s="39" customFormat="1" x14ac:dyDescent="0.3">
      <c r="A420" s="37"/>
      <c r="B420" s="83"/>
      <c r="C420" s="83"/>
      <c r="D420" s="83"/>
      <c r="E420" s="83"/>
      <c r="F420" s="83"/>
      <c r="G420" s="83"/>
      <c r="H420" s="83"/>
      <c r="I420" s="83"/>
      <c r="J420" s="83"/>
      <c r="K420" s="37"/>
      <c r="M420" s="41"/>
      <c r="N420" s="41"/>
      <c r="O420" s="41"/>
      <c r="P420" s="41"/>
      <c r="Q420" s="41"/>
      <c r="R420" s="41"/>
      <c r="S420" s="41"/>
      <c r="T420" s="41"/>
    </row>
    <row r="421" spans="1:20" s="39" customFormat="1" x14ac:dyDescent="0.3">
      <c r="A421" s="37"/>
      <c r="B421" s="83"/>
      <c r="C421" s="83"/>
      <c r="D421" s="83"/>
      <c r="E421" s="83"/>
      <c r="F421" s="83"/>
      <c r="G421" s="83"/>
      <c r="H421" s="83"/>
      <c r="I421" s="83"/>
      <c r="J421" s="83"/>
      <c r="K421" s="37"/>
      <c r="M421" s="41"/>
      <c r="N421" s="41"/>
      <c r="O421" s="41"/>
      <c r="P421" s="41"/>
      <c r="Q421" s="41"/>
      <c r="R421" s="41"/>
      <c r="S421" s="41"/>
      <c r="T421" s="41"/>
    </row>
    <row r="422" spans="1:20" s="39" customFormat="1" x14ac:dyDescent="0.3">
      <c r="A422" s="45"/>
      <c r="B422" s="83"/>
      <c r="C422" s="83"/>
      <c r="D422" s="83"/>
      <c r="E422" s="83"/>
      <c r="F422" s="83"/>
      <c r="G422" s="83"/>
      <c r="H422" s="83"/>
      <c r="I422" s="83"/>
      <c r="J422" s="83"/>
      <c r="K422" s="45"/>
      <c r="M422" s="41"/>
      <c r="N422" s="41"/>
      <c r="O422" s="41"/>
      <c r="P422" s="41"/>
      <c r="Q422" s="41"/>
      <c r="R422" s="41"/>
      <c r="S422" s="41"/>
      <c r="T422" s="41"/>
    </row>
    <row r="423" spans="1:20" s="39" customFormat="1" x14ac:dyDescent="0.3">
      <c r="A423" s="45"/>
      <c r="B423" s="83"/>
      <c r="C423" s="83"/>
      <c r="D423" s="83"/>
      <c r="E423" s="83"/>
      <c r="F423" s="83"/>
      <c r="G423" s="83"/>
      <c r="H423" s="83"/>
      <c r="I423" s="83"/>
      <c r="J423" s="83"/>
      <c r="K423" s="45"/>
      <c r="M423" s="41"/>
      <c r="N423" s="41"/>
      <c r="O423" s="41"/>
      <c r="P423" s="41"/>
      <c r="Q423" s="41"/>
      <c r="R423" s="41"/>
      <c r="S423" s="41"/>
      <c r="T423" s="41"/>
    </row>
    <row r="424" spans="1:20" s="39" customFormat="1" x14ac:dyDescent="0.3">
      <c r="A424" s="45"/>
      <c r="B424" s="83"/>
      <c r="C424" s="83"/>
      <c r="D424" s="83"/>
      <c r="E424" s="83"/>
      <c r="F424" s="83"/>
      <c r="G424" s="83"/>
      <c r="H424" s="83"/>
      <c r="I424" s="83"/>
      <c r="J424" s="83"/>
      <c r="K424" s="45"/>
      <c r="M424" s="41"/>
      <c r="N424" s="41"/>
      <c r="O424" s="41"/>
      <c r="P424" s="41"/>
      <c r="Q424" s="41"/>
      <c r="R424" s="41"/>
      <c r="S424" s="41"/>
      <c r="T424" s="41"/>
    </row>
    <row r="425" spans="1:20" s="39" customFormat="1" x14ac:dyDescent="0.3">
      <c r="A425" s="45"/>
      <c r="B425" s="83"/>
      <c r="C425" s="83"/>
      <c r="D425" s="83"/>
      <c r="E425" s="83"/>
      <c r="F425" s="83"/>
      <c r="G425" s="83"/>
      <c r="H425" s="83"/>
      <c r="I425" s="83"/>
      <c r="J425" s="83"/>
      <c r="K425" s="45"/>
      <c r="M425" s="41"/>
      <c r="N425" s="41"/>
      <c r="O425" s="41"/>
      <c r="P425" s="41"/>
      <c r="Q425" s="41"/>
      <c r="R425" s="41"/>
      <c r="S425" s="41"/>
      <c r="T425" s="41"/>
    </row>
    <row r="426" spans="1:20" s="39" customFormat="1" x14ac:dyDescent="0.3">
      <c r="A426" s="45"/>
      <c r="B426" s="83"/>
      <c r="C426" s="83"/>
      <c r="D426" s="83"/>
      <c r="E426" s="83"/>
      <c r="F426" s="83"/>
      <c r="G426" s="83"/>
      <c r="H426" s="83"/>
      <c r="I426" s="83"/>
      <c r="J426" s="83"/>
      <c r="K426" s="45"/>
      <c r="M426" s="41"/>
      <c r="N426" s="41"/>
      <c r="O426" s="41"/>
      <c r="P426" s="41"/>
      <c r="Q426" s="41"/>
      <c r="R426" s="41"/>
      <c r="S426" s="41"/>
      <c r="T426" s="41"/>
    </row>
    <row r="427" spans="1:20" s="39" customFormat="1" x14ac:dyDescent="0.3">
      <c r="A427" s="45"/>
      <c r="B427" s="83"/>
      <c r="C427" s="83"/>
      <c r="D427" s="83"/>
      <c r="E427" s="83"/>
      <c r="F427" s="83"/>
      <c r="G427" s="83"/>
      <c r="H427" s="83"/>
      <c r="I427" s="83"/>
      <c r="J427" s="83"/>
      <c r="K427" s="45"/>
      <c r="M427" s="41"/>
      <c r="N427" s="41"/>
      <c r="O427" s="41"/>
      <c r="P427" s="41"/>
      <c r="Q427" s="41"/>
      <c r="R427" s="41"/>
      <c r="S427" s="41"/>
      <c r="T427" s="41"/>
    </row>
    <row r="428" spans="1:20" s="39" customFormat="1" ht="13.8" x14ac:dyDescent="0.3">
      <c r="A428" s="45"/>
      <c r="B428" s="48"/>
      <c r="C428" s="84"/>
      <c r="D428" s="45"/>
      <c r="E428" s="59"/>
      <c r="F428" s="45"/>
      <c r="G428" s="45"/>
      <c r="H428" s="45"/>
      <c r="I428" s="45"/>
      <c r="J428" s="45"/>
      <c r="K428" s="45"/>
      <c r="M428" s="41"/>
      <c r="N428" s="41"/>
      <c r="O428" s="41"/>
      <c r="P428" s="41"/>
      <c r="Q428" s="41"/>
      <c r="R428" s="41"/>
      <c r="S428" s="41"/>
      <c r="T428" s="41"/>
    </row>
    <row r="429" spans="1:20" s="39" customFormat="1" ht="13.8" x14ac:dyDescent="0.3">
      <c r="A429" s="45"/>
      <c r="B429" s="48"/>
      <c r="D429" s="45"/>
      <c r="E429" s="45"/>
      <c r="F429" s="45"/>
      <c r="G429" s="45"/>
      <c r="H429" s="45"/>
      <c r="I429" s="45"/>
      <c r="J429" s="45"/>
      <c r="K429" s="45"/>
      <c r="M429" s="41"/>
      <c r="N429" s="41"/>
      <c r="O429" s="41"/>
      <c r="P429" s="41"/>
      <c r="Q429" s="41"/>
      <c r="R429" s="41"/>
      <c r="S429" s="41"/>
      <c r="T429" s="41"/>
    </row>
    <row r="430" spans="1:20" s="39" customFormat="1" ht="13.8" x14ac:dyDescent="0.3">
      <c r="A430" s="45"/>
      <c r="B430" s="48"/>
      <c r="D430" s="45"/>
      <c r="E430" s="45"/>
      <c r="F430" s="45"/>
      <c r="G430" s="45"/>
      <c r="H430" s="45"/>
      <c r="I430" s="45"/>
      <c r="J430" s="45"/>
      <c r="K430" s="45"/>
      <c r="M430" s="41"/>
      <c r="N430" s="41"/>
      <c r="O430" s="41"/>
      <c r="P430" s="41"/>
      <c r="Q430" s="41"/>
      <c r="R430" s="41"/>
      <c r="S430" s="41"/>
      <c r="T430" s="41"/>
    </row>
    <row r="431" spans="1:20" s="39" customFormat="1" ht="13.8" x14ac:dyDescent="0.3">
      <c r="A431" s="45"/>
      <c r="B431" s="48"/>
      <c r="D431" s="45"/>
      <c r="E431" s="45"/>
      <c r="F431" s="45"/>
      <c r="G431" s="45"/>
      <c r="H431" s="45"/>
      <c r="I431" s="45"/>
      <c r="J431" s="45"/>
      <c r="K431" s="45"/>
      <c r="M431" s="41"/>
      <c r="N431" s="41"/>
      <c r="O431" s="41"/>
      <c r="P431" s="41"/>
      <c r="Q431" s="41"/>
      <c r="R431" s="41"/>
      <c r="S431" s="41"/>
      <c r="T431" s="41"/>
    </row>
    <row r="432" spans="1:20" s="39" customFormat="1" ht="13.8" x14ac:dyDescent="0.3">
      <c r="A432" s="45"/>
      <c r="B432" s="48"/>
      <c r="D432" s="45"/>
      <c r="E432" s="45"/>
      <c r="F432" s="45"/>
      <c r="G432" s="45"/>
      <c r="H432" s="48"/>
      <c r="I432" s="59"/>
      <c r="J432" s="45"/>
      <c r="K432" s="45"/>
      <c r="M432" s="41"/>
      <c r="N432" s="41"/>
      <c r="O432" s="41"/>
      <c r="P432" s="41"/>
      <c r="Q432" s="41"/>
      <c r="R432" s="41"/>
      <c r="S432" s="41"/>
      <c r="T432" s="41"/>
    </row>
    <row r="433" spans="1:20" s="39" customFormat="1" ht="13.8" x14ac:dyDescent="0.3">
      <c r="A433" s="45"/>
      <c r="B433" s="48"/>
      <c r="D433" s="45"/>
      <c r="E433" s="45"/>
      <c r="F433" s="45"/>
      <c r="K433" s="45"/>
      <c r="M433" s="41"/>
      <c r="N433" s="41"/>
      <c r="O433" s="41"/>
      <c r="P433" s="41"/>
      <c r="Q433" s="41"/>
      <c r="R433" s="41"/>
      <c r="S433" s="41"/>
      <c r="T433" s="41"/>
    </row>
    <row r="434" spans="1:20" s="39" customFormat="1" ht="13.8" x14ac:dyDescent="0.3">
      <c r="A434" s="45"/>
      <c r="B434" s="45"/>
      <c r="C434" s="45"/>
      <c r="D434" s="45"/>
      <c r="E434" s="45"/>
      <c r="F434" s="45"/>
      <c r="G434" s="45"/>
      <c r="H434" s="45"/>
      <c r="I434" s="45"/>
      <c r="J434" s="45"/>
      <c r="K434" s="45"/>
      <c r="M434" s="41"/>
      <c r="N434" s="41"/>
      <c r="O434" s="41"/>
      <c r="P434" s="41"/>
      <c r="Q434" s="41"/>
      <c r="R434" s="41"/>
      <c r="S434" s="41"/>
      <c r="T434" s="41"/>
    </row>
    <row r="435" spans="1:20" s="39" customFormat="1" ht="13.8" x14ac:dyDescent="0.3">
      <c r="A435" s="45"/>
      <c r="B435" s="45"/>
      <c r="C435" s="45"/>
      <c r="D435" s="45"/>
      <c r="E435" s="45"/>
      <c r="F435" s="45"/>
      <c r="G435" s="45"/>
      <c r="H435" s="45"/>
      <c r="I435" s="45"/>
      <c r="J435" s="45"/>
      <c r="K435" s="45"/>
      <c r="M435" s="41"/>
      <c r="N435" s="41"/>
      <c r="O435" s="41"/>
      <c r="P435" s="41"/>
      <c r="Q435" s="41"/>
      <c r="R435" s="41"/>
      <c r="S435" s="41"/>
      <c r="T435" s="41"/>
    </row>
    <row r="436" spans="1:20" s="39" customFormat="1" ht="13.8" x14ac:dyDescent="0.3">
      <c r="A436" s="45"/>
      <c r="B436" s="45"/>
      <c r="C436" s="45"/>
      <c r="D436" s="45"/>
      <c r="E436" s="45"/>
      <c r="F436" s="45"/>
      <c r="G436" s="45"/>
      <c r="H436" s="45"/>
      <c r="I436" s="45"/>
      <c r="J436" s="45"/>
      <c r="K436" s="45"/>
      <c r="M436" s="41"/>
      <c r="N436" s="41"/>
      <c r="O436" s="41"/>
      <c r="P436" s="41"/>
      <c r="Q436" s="41"/>
      <c r="R436" s="41"/>
      <c r="S436" s="41"/>
      <c r="T436" s="41"/>
    </row>
    <row r="437" spans="1:20" s="39" customFormat="1" ht="13.8" x14ac:dyDescent="0.3">
      <c r="A437" s="45"/>
      <c r="B437" s="45"/>
      <c r="C437" s="45"/>
      <c r="D437" s="45"/>
      <c r="E437" s="45"/>
      <c r="F437" s="45"/>
      <c r="G437" s="45"/>
      <c r="H437" s="45"/>
      <c r="I437" s="45"/>
      <c r="J437" s="45"/>
      <c r="K437" s="45"/>
      <c r="M437" s="41"/>
      <c r="N437" s="41"/>
      <c r="O437" s="41"/>
      <c r="P437" s="41"/>
      <c r="Q437" s="41"/>
      <c r="R437" s="41"/>
      <c r="S437" s="41"/>
      <c r="T437" s="41"/>
    </row>
    <row r="438" spans="1:20" s="39" customFormat="1" ht="13.8" x14ac:dyDescent="0.3">
      <c r="A438" s="45"/>
      <c r="B438" s="45"/>
      <c r="C438" s="45"/>
      <c r="D438" s="45"/>
      <c r="E438" s="45"/>
      <c r="F438" s="45"/>
      <c r="G438" s="45"/>
      <c r="H438" s="45"/>
      <c r="I438" s="45"/>
      <c r="J438" s="45"/>
      <c r="K438" s="45"/>
      <c r="M438" s="41"/>
      <c r="N438" s="41"/>
      <c r="O438" s="41"/>
      <c r="P438" s="41"/>
      <c r="Q438" s="41"/>
      <c r="R438" s="41"/>
      <c r="S438" s="41"/>
      <c r="T438" s="41"/>
    </row>
  </sheetData>
  <mergeCells count="18">
    <mergeCell ref="B104:J106"/>
    <mergeCell ref="B343:J345"/>
    <mergeCell ref="A297:B297"/>
    <mergeCell ref="B15:J19"/>
    <mergeCell ref="B29:G30"/>
    <mergeCell ref="B26:G27"/>
    <mergeCell ref="B33:J34"/>
    <mergeCell ref="D101:J102"/>
    <mergeCell ref="D366:J369"/>
    <mergeCell ref="B388:J390"/>
    <mergeCell ref="B109:J110"/>
    <mergeCell ref="B132:J133"/>
    <mergeCell ref="B182:J183"/>
    <mergeCell ref="B234:J235"/>
    <mergeCell ref="B260:J261"/>
    <mergeCell ref="B288:J289"/>
    <mergeCell ref="B290:J291"/>
    <mergeCell ref="B292:J293"/>
  </mergeCells>
  <pageMargins left="0.47244094488188981" right="0.23622047244094491" top="0.31496062992125984" bottom="0.98425196850393704" header="0.43307086614173229" footer="0.59055118110236227"/>
  <pageSetup scale="96" orientation="portrait" horizontalDpi="300" r:id="rId1"/>
  <headerFooter alignWithMargins="0">
    <oddFooter>&amp;C&amp;"Arial,Bold"ABBOTT AEROSPACE INC. PROPRIETARY INFORMATION&amp;"Arial,Regular"
Subject to restrictions on the cover or first page</oddFooter>
  </headerFooter>
  <rowBreaks count="6" manualBreakCount="6">
    <brk id="63" max="10" man="1"/>
    <brk id="118" max="10" man="1"/>
    <brk id="173" max="10" man="1"/>
    <brk id="226" max="10" man="1"/>
    <brk id="280" max="10" man="1"/>
    <brk id="335" max="1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7:AG176"/>
  <sheetViews>
    <sheetView topLeftCell="B1" zoomScale="40" zoomScaleNormal="40" workbookViewId="0">
      <selection activeCell="B40" sqref="B40"/>
    </sheetView>
  </sheetViews>
  <sheetFormatPr defaultRowHeight="13.2" x14ac:dyDescent="0.25"/>
  <sheetData>
    <row r="7" spans="1:4" x14ac:dyDescent="0.25">
      <c r="D7" t="s">
        <v>40</v>
      </c>
    </row>
    <row r="8" spans="1:4" x14ac:dyDescent="0.25">
      <c r="A8">
        <v>0.01</v>
      </c>
    </row>
    <row r="9" spans="1:4" x14ac:dyDescent="0.25">
      <c r="A9">
        <v>0.02</v>
      </c>
    </row>
    <row r="10" spans="1:4" x14ac:dyDescent="0.25">
      <c r="A10">
        <v>0.03</v>
      </c>
    </row>
    <row r="11" spans="1:4" x14ac:dyDescent="0.25">
      <c r="A11">
        <v>0.04</v>
      </c>
    </row>
    <row r="12" spans="1:4" x14ac:dyDescent="0.25">
      <c r="A12">
        <v>0.05</v>
      </c>
    </row>
    <row r="13" spans="1:4" x14ac:dyDescent="0.25">
      <c r="A13">
        <v>0.06</v>
      </c>
    </row>
    <row r="14" spans="1:4" x14ac:dyDescent="0.25">
      <c r="A14">
        <v>7.0000000000000007E-2</v>
      </c>
    </row>
    <row r="15" spans="1:4" x14ac:dyDescent="0.25">
      <c r="A15">
        <v>0.08</v>
      </c>
    </row>
    <row r="16" spans="1:4" x14ac:dyDescent="0.25">
      <c r="A16">
        <v>0.09</v>
      </c>
    </row>
    <row r="17" spans="1:1" x14ac:dyDescent="0.25">
      <c r="A17">
        <v>0.1</v>
      </c>
    </row>
    <row r="18" spans="1:1" x14ac:dyDescent="0.25">
      <c r="A18">
        <v>0.2</v>
      </c>
    </row>
    <row r="19" spans="1:1" x14ac:dyDescent="0.25">
      <c r="A19">
        <v>0.3</v>
      </c>
    </row>
    <row r="20" spans="1:1" x14ac:dyDescent="0.25">
      <c r="A20">
        <v>0.4</v>
      </c>
    </row>
    <row r="21" spans="1:1" x14ac:dyDescent="0.25">
      <c r="A21">
        <v>0.5</v>
      </c>
    </row>
    <row r="22" spans="1:1" x14ac:dyDescent="0.25">
      <c r="A22">
        <v>0.6</v>
      </c>
    </row>
    <row r="23" spans="1:1" x14ac:dyDescent="0.25">
      <c r="A23">
        <v>0.7</v>
      </c>
    </row>
    <row r="24" spans="1:1" x14ac:dyDescent="0.25">
      <c r="A24">
        <v>0.8</v>
      </c>
    </row>
    <row r="25" spans="1:1" x14ac:dyDescent="0.25">
      <c r="A25">
        <v>0.9</v>
      </c>
    </row>
    <row r="26" spans="1:1" x14ac:dyDescent="0.25">
      <c r="A26">
        <v>1</v>
      </c>
    </row>
    <row r="27" spans="1:1" x14ac:dyDescent="0.25">
      <c r="A27">
        <v>1.5</v>
      </c>
    </row>
    <row r="28" spans="1:1" x14ac:dyDescent="0.25">
      <c r="A28">
        <v>2</v>
      </c>
    </row>
    <row r="29" spans="1:1" x14ac:dyDescent="0.25">
      <c r="A29">
        <v>3</v>
      </c>
    </row>
    <row r="30" spans="1:1" x14ac:dyDescent="0.25">
      <c r="A30">
        <v>4</v>
      </c>
    </row>
    <row r="31" spans="1:1" x14ac:dyDescent="0.25">
      <c r="A31">
        <v>5</v>
      </c>
    </row>
    <row r="32" spans="1:1" x14ac:dyDescent="0.25">
      <c r="A32">
        <v>6</v>
      </c>
    </row>
    <row r="33" spans="1:33" x14ac:dyDescent="0.25">
      <c r="A33">
        <v>7</v>
      </c>
    </row>
    <row r="34" spans="1:33" x14ac:dyDescent="0.25">
      <c r="A34">
        <v>8</v>
      </c>
    </row>
    <row r="42" spans="1:33" x14ac:dyDescent="0.25">
      <c r="AG42" s="4" t="s">
        <v>31</v>
      </c>
    </row>
    <row r="43" spans="1:33" x14ac:dyDescent="0.25">
      <c r="AG43" s="5"/>
    </row>
    <row r="44" spans="1:33" x14ac:dyDescent="0.25">
      <c r="AG44" s="5" t="s">
        <v>32</v>
      </c>
    </row>
    <row r="45" spans="1:33" ht="15.6" x14ac:dyDescent="0.25">
      <c r="AG45" s="5" t="s">
        <v>33</v>
      </c>
    </row>
    <row r="53" spans="33:33" ht="18" thickBot="1" x14ac:dyDescent="0.35">
      <c r="AG53" s="6" t="s">
        <v>34</v>
      </c>
    </row>
    <row r="54" spans="33:33" ht="13.8" thickBot="1" x14ac:dyDescent="0.3">
      <c r="AG54" s="7"/>
    </row>
    <row r="55" spans="33:33" ht="13.8" thickBot="1" x14ac:dyDescent="0.3">
      <c r="AG55" s="8"/>
    </row>
    <row r="56" spans="33:33" ht="13.8" thickBot="1" x14ac:dyDescent="0.3">
      <c r="AG56" s="8"/>
    </row>
    <row r="57" spans="33:33" ht="13.8" thickBot="1" x14ac:dyDescent="0.3">
      <c r="AG57" s="8"/>
    </row>
    <row r="58" spans="33:33" ht="13.8" thickBot="1" x14ac:dyDescent="0.3">
      <c r="AG58" s="8"/>
    </row>
    <row r="59" spans="33:33" ht="13.8" thickBot="1" x14ac:dyDescent="0.3">
      <c r="AG59" s="8"/>
    </row>
    <row r="60" spans="33:33" ht="13.8" thickBot="1" x14ac:dyDescent="0.3">
      <c r="AG60" s="8"/>
    </row>
    <row r="61" spans="33:33" ht="13.8" thickBot="1" x14ac:dyDescent="0.3">
      <c r="AG61" s="8"/>
    </row>
    <row r="62" spans="33:33" ht="13.8" thickBot="1" x14ac:dyDescent="0.3">
      <c r="AG62" s="8"/>
    </row>
    <row r="63" spans="33:33" ht="13.8" thickBot="1" x14ac:dyDescent="0.3">
      <c r="AG63" s="8"/>
    </row>
    <row r="64" spans="33:33" ht="13.8" thickBot="1" x14ac:dyDescent="0.3">
      <c r="AG64" s="8"/>
    </row>
    <row r="65" spans="1:33" ht="13.8" thickBot="1" x14ac:dyDescent="0.3">
      <c r="AG65" s="8"/>
    </row>
    <row r="66" spans="1:33" ht="13.8" thickBot="1" x14ac:dyDescent="0.3">
      <c r="AG66" s="8"/>
    </row>
    <row r="67" spans="1:33" x14ac:dyDescent="0.25">
      <c r="AG67" s="9"/>
    </row>
    <row r="68" spans="1:33" x14ac:dyDescent="0.25">
      <c r="AG68" s="9"/>
    </row>
    <row r="69" spans="1:33" x14ac:dyDescent="0.25">
      <c r="AG69" s="10" t="s">
        <v>35</v>
      </c>
    </row>
    <row r="70" spans="1:33" x14ac:dyDescent="0.25">
      <c r="AG70" s="4" t="s">
        <v>36</v>
      </c>
    </row>
    <row r="71" spans="1:33" ht="15.6" x14ac:dyDescent="0.25">
      <c r="AG71" s="5" t="s">
        <v>37</v>
      </c>
    </row>
    <row r="72" spans="1:33" x14ac:dyDescent="0.25">
      <c r="AG72" s="5" t="s">
        <v>38</v>
      </c>
    </row>
    <row r="73" spans="1:33" x14ac:dyDescent="0.25">
      <c r="AG73" s="5" t="s">
        <v>39</v>
      </c>
    </row>
    <row r="75" spans="1:33" x14ac:dyDescent="0.25">
      <c r="A75" t="s">
        <v>43</v>
      </c>
      <c r="V75" s="13" t="s">
        <v>59</v>
      </c>
      <c r="X75">
        <v>2</v>
      </c>
    </row>
    <row r="76" spans="1:33" x14ac:dyDescent="0.25">
      <c r="V76" s="12"/>
      <c r="W76" s="12"/>
    </row>
    <row r="77" spans="1:33" x14ac:dyDescent="0.25">
      <c r="V77" s="12" t="s">
        <v>44</v>
      </c>
      <c r="W77" s="12" t="s">
        <v>70</v>
      </c>
    </row>
    <row r="78" spans="1:33" x14ac:dyDescent="0.25">
      <c r="A78" s="2"/>
      <c r="B78" s="2"/>
      <c r="C78" s="2"/>
      <c r="D78" s="2"/>
      <c r="E78" s="2"/>
      <c r="F78" s="2"/>
      <c r="G78" s="2"/>
      <c r="H78" s="2"/>
      <c r="I78" s="2"/>
      <c r="J78" s="2"/>
      <c r="V78" s="12"/>
      <c r="W78" s="12"/>
    </row>
    <row r="79" spans="1:33" x14ac:dyDescent="0.25">
      <c r="A79" s="2" t="s">
        <v>30</v>
      </c>
      <c r="B79" s="2" t="s">
        <v>44</v>
      </c>
      <c r="C79" s="2"/>
      <c r="D79" s="2"/>
      <c r="E79" s="2"/>
      <c r="F79" s="2"/>
      <c r="G79" s="2"/>
      <c r="H79" s="2"/>
      <c r="I79" s="2"/>
      <c r="J79" s="2"/>
      <c r="U79" s="12">
        <v>-8</v>
      </c>
      <c r="V79" s="12">
        <f>J81</f>
        <v>0.14000000000000001</v>
      </c>
      <c r="W79" s="12">
        <v>2.5000000000000001E-2</v>
      </c>
      <c r="Y79" s="11">
        <f xml:space="preserve"> 0.1446*V79^3 - 0.1393*V79^2 + 0.1447*V79 + 0.0061</f>
        <v>2.4024502400000002E-2</v>
      </c>
      <c r="Z79">
        <f xml:space="preserve"> 0.000002481*U79^3 + 0.0003360683*U79^2 + 0.0072177014*U79 + 0.0646505553</f>
        <v>2.7147043299999993E-2</v>
      </c>
    </row>
    <row r="80" spans="1:33" x14ac:dyDescent="0.25">
      <c r="A80" s="2" t="s">
        <v>42</v>
      </c>
      <c r="B80" s="2">
        <v>4.2000000000000003E-2</v>
      </c>
      <c r="C80" s="2">
        <v>8.3000000000000004E-2</v>
      </c>
      <c r="D80" s="2">
        <v>0.16700000000000001</v>
      </c>
      <c r="E80" s="2">
        <v>0.33300000000000002</v>
      </c>
      <c r="F80" s="2">
        <v>0.5</v>
      </c>
      <c r="G80" s="2">
        <v>0.66700000000000004</v>
      </c>
      <c r="H80" s="2">
        <v>0.83399999999999996</v>
      </c>
      <c r="I80" s="2">
        <v>1</v>
      </c>
      <c r="J80" s="2" t="s">
        <v>45</v>
      </c>
      <c r="U80" s="12">
        <v>-6</v>
      </c>
      <c r="V80" s="12">
        <f t="shared" ref="V80:V89" si="0">J82</f>
        <v>0.23</v>
      </c>
      <c r="W80" s="12">
        <v>3.6999999999999998E-2</v>
      </c>
      <c r="Y80" s="11">
        <f t="shared" ref="Y80:Y92" si="1" xml:space="preserve"> 0.1446*V80^3 - 0.1393*V80^2 + 0.1447*V80 + 0.0061</f>
        <v>3.37713782E-2</v>
      </c>
      <c r="Z80" s="13">
        <f t="shared" ref="Z80:Z92" si="2" xml:space="preserve"> 0.000002481*U80^3 + 0.0003360683*U80^2 + 0.0072177014*U80 + 0.0646505553</f>
        <v>3.2906909699999994E-2</v>
      </c>
    </row>
    <row r="81" spans="1:26" x14ac:dyDescent="0.25">
      <c r="A81" s="2">
        <v>-8</v>
      </c>
      <c r="B81" s="2"/>
      <c r="C81" s="2">
        <v>-0.32</v>
      </c>
      <c r="D81" s="2">
        <v>-0.1</v>
      </c>
      <c r="E81" s="2">
        <v>0.05</v>
      </c>
      <c r="F81" s="2">
        <v>0.1</v>
      </c>
      <c r="G81" s="2">
        <f>F81+0.005</f>
        <v>0.10500000000000001</v>
      </c>
      <c r="H81" s="2"/>
      <c r="I81" s="2"/>
      <c r="J81" s="2">
        <v>0.14000000000000001</v>
      </c>
      <c r="U81" s="12">
        <v>-4</v>
      </c>
      <c r="V81" s="12">
        <f t="shared" si="0"/>
        <v>0.33</v>
      </c>
      <c r="W81" s="12">
        <v>0.04</v>
      </c>
      <c r="Y81" s="11">
        <f t="shared" si="1"/>
        <v>4.3877720200000005E-2</v>
      </c>
      <c r="Z81" s="13">
        <f t="shared" si="2"/>
        <v>4.0998058499999997E-2</v>
      </c>
    </row>
    <row r="82" spans="1:26" x14ac:dyDescent="0.25">
      <c r="A82" s="2">
        <v>-6</v>
      </c>
      <c r="B82" s="2">
        <v>-0.22</v>
      </c>
      <c r="C82" s="2">
        <v>-0.12</v>
      </c>
      <c r="D82" s="2">
        <v>0.08</v>
      </c>
      <c r="E82" s="2">
        <v>0.18</v>
      </c>
      <c r="F82" s="2">
        <v>0.22</v>
      </c>
      <c r="G82" s="2">
        <f>F82+0.005</f>
        <v>0.22500000000000001</v>
      </c>
      <c r="H82" s="2"/>
      <c r="I82" s="2"/>
      <c r="J82" s="2">
        <v>0.23</v>
      </c>
      <c r="U82" s="12">
        <v>-2</v>
      </c>
      <c r="V82" s="12">
        <f t="shared" si="0"/>
        <v>0.43</v>
      </c>
      <c r="W82" s="12">
        <v>0.05</v>
      </c>
      <c r="Y82" s="11">
        <f t="shared" si="1"/>
        <v>5.4061142200000002E-2</v>
      </c>
      <c r="Z82" s="13">
        <f t="shared" si="2"/>
        <v>5.1539577699999992E-2</v>
      </c>
    </row>
    <row r="83" spans="1:26" x14ac:dyDescent="0.25">
      <c r="A83" s="2">
        <v>-4</v>
      </c>
      <c r="B83" s="2">
        <v>-0.05</v>
      </c>
      <c r="C83" s="2">
        <v>0.1</v>
      </c>
      <c r="D83" s="2">
        <v>0.23499999999999999</v>
      </c>
      <c r="E83" s="2">
        <v>0.32</v>
      </c>
      <c r="F83" s="2">
        <v>0.34</v>
      </c>
      <c r="G83" s="2">
        <f>F83+0.005</f>
        <v>0.34500000000000003</v>
      </c>
      <c r="H83" s="2"/>
      <c r="I83" s="2"/>
      <c r="J83" s="2">
        <v>0.33</v>
      </c>
      <c r="U83" s="12">
        <v>0</v>
      </c>
      <c r="V83" s="12">
        <f t="shared" si="0"/>
        <v>0.54</v>
      </c>
      <c r="W83" s="12">
        <v>6.5000000000000002E-2</v>
      </c>
      <c r="Y83" s="11">
        <f t="shared" si="1"/>
        <v>6.6387414399999997E-2</v>
      </c>
      <c r="Z83" s="13">
        <f t="shared" si="2"/>
        <v>6.4650555299999996E-2</v>
      </c>
    </row>
    <row r="84" spans="1:26" x14ac:dyDescent="0.25">
      <c r="A84" s="2">
        <v>-2</v>
      </c>
      <c r="B84" s="2">
        <v>0.2</v>
      </c>
      <c r="C84" s="2">
        <v>0.3</v>
      </c>
      <c r="D84" s="2">
        <v>0.37</v>
      </c>
      <c r="E84" s="2">
        <v>0.43</v>
      </c>
      <c r="F84" s="2">
        <v>0.44500000000000001</v>
      </c>
      <c r="G84" s="2">
        <f>F84+0.005</f>
        <v>0.45</v>
      </c>
      <c r="H84" s="2"/>
      <c r="I84" s="2"/>
      <c r="J84" s="2">
        <v>0.43</v>
      </c>
      <c r="U84" s="12">
        <v>2</v>
      </c>
      <c r="V84" s="12">
        <f t="shared" si="0"/>
        <v>0.64</v>
      </c>
      <c r="W84" s="12">
        <v>0.08</v>
      </c>
      <c r="Y84" s="11">
        <f t="shared" si="1"/>
        <v>7.9556742399999991E-2</v>
      </c>
      <c r="Z84" s="13">
        <f t="shared" si="2"/>
        <v>8.0450079299999991E-2</v>
      </c>
    </row>
    <row r="85" spans="1:26" x14ac:dyDescent="0.25">
      <c r="A85" s="2">
        <v>0</v>
      </c>
      <c r="B85" s="2">
        <v>0.54</v>
      </c>
      <c r="C85" s="2">
        <v>0.56999999999999995</v>
      </c>
      <c r="D85" s="2">
        <v>0.55000000000000004</v>
      </c>
      <c r="E85" s="2">
        <v>0.55000000000000004</v>
      </c>
      <c r="F85" s="2">
        <v>0.55000000000000004</v>
      </c>
      <c r="G85" s="2">
        <f>F85+0.005</f>
        <v>0.55500000000000005</v>
      </c>
      <c r="H85" s="2"/>
      <c r="I85" s="2"/>
      <c r="J85" s="2">
        <v>0.54</v>
      </c>
      <c r="U85" s="12">
        <v>4</v>
      </c>
      <c r="V85" s="12">
        <f t="shared" si="0"/>
        <v>0.75</v>
      </c>
      <c r="W85" s="12">
        <v>0.1</v>
      </c>
      <c r="Y85" s="11">
        <f t="shared" si="1"/>
        <v>9.7271874999999994E-2</v>
      </c>
      <c r="Z85" s="13">
        <f t="shared" si="2"/>
        <v>9.9057237699999995E-2</v>
      </c>
    </row>
    <row r="86" spans="1:26" x14ac:dyDescent="0.25">
      <c r="A86" s="2">
        <v>2</v>
      </c>
      <c r="B86" s="2">
        <v>1.1000000000000001</v>
      </c>
      <c r="C86" s="2">
        <v>0.84</v>
      </c>
      <c r="D86" s="2">
        <v>0.72499999999999998</v>
      </c>
      <c r="E86" s="2">
        <v>0.69</v>
      </c>
      <c r="F86" s="2">
        <v>0.68</v>
      </c>
      <c r="G86" s="2"/>
      <c r="H86" s="2"/>
      <c r="I86" s="2"/>
      <c r="J86" s="2">
        <v>0.64</v>
      </c>
      <c r="U86" s="12">
        <v>6</v>
      </c>
      <c r="V86" s="12">
        <f t="shared" si="0"/>
        <v>0.84</v>
      </c>
      <c r="W86" s="12">
        <v>0.125</v>
      </c>
      <c r="Y86" s="11">
        <f t="shared" si="1"/>
        <v>0.11506291839999998</v>
      </c>
      <c r="Z86" s="13">
        <f t="shared" si="2"/>
        <v>0.1205911185</v>
      </c>
    </row>
    <row r="87" spans="1:26" x14ac:dyDescent="0.25">
      <c r="A87" s="2">
        <v>4</v>
      </c>
      <c r="B87" s="2"/>
      <c r="C87" s="2">
        <v>1.1399999999999999</v>
      </c>
      <c r="D87" s="2">
        <v>0.91500000000000004</v>
      </c>
      <c r="E87" s="2">
        <v>0.82499999999999996</v>
      </c>
      <c r="F87" s="2">
        <v>0.81</v>
      </c>
      <c r="G87" s="2"/>
      <c r="H87" s="2"/>
      <c r="I87" s="2"/>
      <c r="J87" s="2">
        <v>0.75</v>
      </c>
      <c r="U87" s="12">
        <v>8</v>
      </c>
      <c r="V87" s="12">
        <f t="shared" si="0"/>
        <v>0.96</v>
      </c>
      <c r="W87" s="12">
        <v>0.14000000000000001</v>
      </c>
      <c r="Y87" s="11">
        <f t="shared" si="1"/>
        <v>0.14456594559999997</v>
      </c>
      <c r="Z87" s="13">
        <f t="shared" si="2"/>
        <v>0.14517080970000001</v>
      </c>
    </row>
    <row r="88" spans="1:26" x14ac:dyDescent="0.25">
      <c r="A88" s="2">
        <v>6</v>
      </c>
      <c r="B88" s="2"/>
      <c r="C88" s="2"/>
      <c r="D88" s="2">
        <v>1.0900000000000001</v>
      </c>
      <c r="E88" s="2">
        <v>0.95</v>
      </c>
      <c r="F88" s="2">
        <v>0.92</v>
      </c>
      <c r="G88" s="2"/>
      <c r="H88" s="2"/>
      <c r="I88" s="2"/>
      <c r="J88" s="2">
        <v>0.84</v>
      </c>
      <c r="U88" s="12">
        <v>10</v>
      </c>
      <c r="V88" s="12">
        <f t="shared" si="0"/>
        <v>1.05</v>
      </c>
      <c r="W88" s="12">
        <v>0.17</v>
      </c>
      <c r="Y88" s="11">
        <f t="shared" si="1"/>
        <v>0.17184932500000002</v>
      </c>
      <c r="Z88" s="13">
        <f t="shared" si="2"/>
        <v>0.17291539929999999</v>
      </c>
    </row>
    <row r="89" spans="1:26" x14ac:dyDescent="0.25">
      <c r="A89" s="2">
        <v>8</v>
      </c>
      <c r="B89" s="2"/>
      <c r="C89" s="2"/>
      <c r="D89" s="2">
        <v>1.28</v>
      </c>
      <c r="E89" s="2">
        <v>1.07</v>
      </c>
      <c r="F89" s="2">
        <v>1.03</v>
      </c>
      <c r="G89" s="2"/>
      <c r="H89" s="2"/>
      <c r="I89" s="2"/>
      <c r="J89" s="2">
        <v>0.96</v>
      </c>
      <c r="U89" s="12">
        <v>12</v>
      </c>
      <c r="V89" s="12">
        <f t="shared" si="0"/>
        <v>1.1399999999999999</v>
      </c>
      <c r="W89" s="12">
        <v>0.20499999999999999</v>
      </c>
      <c r="Y89" s="11">
        <f t="shared" si="1"/>
        <v>0.20425498239999998</v>
      </c>
      <c r="Z89" s="13">
        <f t="shared" si="2"/>
        <v>0.2039439753</v>
      </c>
    </row>
    <row r="90" spans="1:26" x14ac:dyDescent="0.25">
      <c r="A90" s="2">
        <v>10</v>
      </c>
      <c r="B90" s="2"/>
      <c r="C90" s="2"/>
      <c r="D90" s="2">
        <v>1.48</v>
      </c>
      <c r="E90" s="2">
        <v>1.21</v>
      </c>
      <c r="F90" s="2">
        <v>1.1599999999999999</v>
      </c>
      <c r="G90" s="2"/>
      <c r="H90" s="2"/>
      <c r="I90" s="2"/>
      <c r="J90" s="2">
        <v>1.05</v>
      </c>
      <c r="U90" s="12">
        <v>14</v>
      </c>
      <c r="V90" s="12">
        <v>1.24</v>
      </c>
      <c r="W90" s="12">
        <v>0.24</v>
      </c>
      <c r="Y90" s="11">
        <f t="shared" si="1"/>
        <v>0.24703815039999999</v>
      </c>
      <c r="Z90" s="13">
        <f t="shared" si="2"/>
        <v>0.23837562570000001</v>
      </c>
    </row>
    <row r="91" spans="1:26" x14ac:dyDescent="0.25">
      <c r="A91" s="2">
        <v>12</v>
      </c>
      <c r="B91" s="2"/>
      <c r="C91" s="2"/>
      <c r="D91" s="2"/>
      <c r="E91" s="2"/>
      <c r="F91" s="2"/>
      <c r="G91" s="2"/>
      <c r="H91" s="2"/>
      <c r="I91" s="2"/>
      <c r="J91" s="2">
        <v>1.1399999999999999</v>
      </c>
      <c r="U91" s="12">
        <v>16</v>
      </c>
      <c r="V91" s="12">
        <v>1.31</v>
      </c>
      <c r="W91" s="12">
        <v>0.28000000000000003</v>
      </c>
      <c r="Y91" s="11">
        <f t="shared" si="1"/>
        <v>0.28167822860000002</v>
      </c>
      <c r="Z91" s="13">
        <f t="shared" si="2"/>
        <v>0.27632943850000002</v>
      </c>
    </row>
    <row r="92" spans="1:26" ht="15.6" x14ac:dyDescent="0.25">
      <c r="B92" s="11" t="s">
        <v>46</v>
      </c>
      <c r="C92" s="11" t="s">
        <v>47</v>
      </c>
      <c r="D92" s="11" t="s">
        <v>48</v>
      </c>
      <c r="E92" s="11" t="s">
        <v>49</v>
      </c>
      <c r="F92" s="11" t="s">
        <v>52</v>
      </c>
      <c r="J92" s="11" t="s">
        <v>50</v>
      </c>
      <c r="U92" s="12">
        <v>18</v>
      </c>
      <c r="V92" s="12">
        <v>1.36</v>
      </c>
      <c r="W92" s="12">
        <v>0.315</v>
      </c>
      <c r="Y92" s="11">
        <f t="shared" si="1"/>
        <v>0.30897765760000007</v>
      </c>
      <c r="Z92" s="13">
        <f t="shared" si="2"/>
        <v>0.31792450169999997</v>
      </c>
    </row>
    <row r="93" spans="1:26" x14ac:dyDescent="0.25">
      <c r="V93" s="12"/>
      <c r="W93" s="12"/>
    </row>
    <row r="94" spans="1:26" x14ac:dyDescent="0.25">
      <c r="A94" s="2">
        <v>-4</v>
      </c>
      <c r="B94" s="2">
        <f xml:space="preserve"> 0.0155*A94^2 + 0.2236*A94 + 0.5749</f>
        <v>-7.1500000000000008E-2</v>
      </c>
      <c r="C94" s="2">
        <f xml:space="preserve"> 0.0026*A94^2 + 0.1315*A94 + 0.5686</f>
        <v>8.4199999999999942E-2</v>
      </c>
      <c r="D94" s="2">
        <f xml:space="preserve"> 0.087*A94 + 0.5755</f>
        <v>0.22750000000000004</v>
      </c>
      <c r="E94" s="2">
        <f xml:space="preserve"> 0.0641*A94 + 0.5634</f>
        <v>0.307</v>
      </c>
      <c r="F94" s="2">
        <f xml:space="preserve"> 0.0586*A94+ 0.5669</f>
        <v>0.33249999999999996</v>
      </c>
      <c r="G94" s="2"/>
      <c r="H94" s="2"/>
      <c r="I94" s="2"/>
      <c r="J94" s="2">
        <f xml:space="preserve"> 0.0509*A94 + 0.5391</f>
        <v>0.33550000000000002</v>
      </c>
      <c r="V94" s="12"/>
      <c r="W94" s="12"/>
    </row>
    <row r="95" spans="1:26" x14ac:dyDescent="0.25">
      <c r="A95" s="2">
        <v>-2</v>
      </c>
      <c r="B95" s="2">
        <f t="shared" ref="B95:B105" si="3" xml:space="preserve"> 0.0155*A95^2 + 0.2236*A95 + 0.5749</f>
        <v>0.18969999999999998</v>
      </c>
      <c r="C95" s="2">
        <f t="shared" ref="C95:C105" si="4" xml:space="preserve"> 0.0026*A95^2 + 0.1315*A95 + 0.5686</f>
        <v>0.316</v>
      </c>
      <c r="D95" s="2">
        <f t="shared" ref="D95:D105" si="5" xml:space="preserve"> 0.087*A95 + 0.5755</f>
        <v>0.40150000000000002</v>
      </c>
      <c r="E95" s="2">
        <f t="shared" ref="E95:E105" si="6" xml:space="preserve"> 0.0641*A95 + 0.5634</f>
        <v>0.43520000000000003</v>
      </c>
      <c r="F95" s="2">
        <f t="shared" ref="F95:F105" si="7" xml:space="preserve"> 0.0586*A95+ 0.5669</f>
        <v>0.44969999999999999</v>
      </c>
      <c r="G95" s="2"/>
      <c r="H95" s="2"/>
      <c r="I95" s="2"/>
      <c r="J95" s="2">
        <f t="shared" ref="J95:J105" si="8" xml:space="preserve"> 0.0509*A95 + 0.5391</f>
        <v>0.43730000000000002</v>
      </c>
      <c r="V95" s="12"/>
      <c r="W95" s="12"/>
    </row>
    <row r="96" spans="1:26" x14ac:dyDescent="0.25">
      <c r="A96" s="2">
        <v>0</v>
      </c>
      <c r="B96" s="2">
        <f t="shared" si="3"/>
        <v>0.57489999999999997</v>
      </c>
      <c r="C96" s="2">
        <f t="shared" si="4"/>
        <v>0.56859999999999999</v>
      </c>
      <c r="D96" s="2">
        <f t="shared" si="5"/>
        <v>0.57550000000000001</v>
      </c>
      <c r="E96" s="2">
        <f t="shared" si="6"/>
        <v>0.56340000000000001</v>
      </c>
      <c r="F96" s="2">
        <f t="shared" si="7"/>
        <v>0.56689999999999996</v>
      </c>
      <c r="G96" s="2"/>
      <c r="H96" s="2"/>
      <c r="I96" s="2"/>
      <c r="J96" s="2">
        <f t="shared" si="8"/>
        <v>0.53910000000000002</v>
      </c>
      <c r="V96" s="12"/>
      <c r="W96" s="12"/>
    </row>
    <row r="97" spans="1:23" x14ac:dyDescent="0.25">
      <c r="A97" s="2">
        <v>2</v>
      </c>
      <c r="B97" s="2">
        <f t="shared" si="3"/>
        <v>1.0840999999999998</v>
      </c>
      <c r="C97" s="2">
        <f t="shared" si="4"/>
        <v>0.84200000000000008</v>
      </c>
      <c r="D97" s="2">
        <f t="shared" si="5"/>
        <v>0.74950000000000006</v>
      </c>
      <c r="E97" s="2">
        <f t="shared" si="6"/>
        <v>0.69159999999999999</v>
      </c>
      <c r="F97" s="2">
        <f t="shared" si="7"/>
        <v>0.68409999999999993</v>
      </c>
      <c r="G97" s="2"/>
      <c r="H97" s="2"/>
      <c r="I97" s="2"/>
      <c r="J97" s="2">
        <f t="shared" si="8"/>
        <v>0.64090000000000003</v>
      </c>
      <c r="V97" s="12"/>
      <c r="W97" s="12"/>
    </row>
    <row r="98" spans="1:23" x14ac:dyDescent="0.25">
      <c r="A98" s="2">
        <v>4</v>
      </c>
      <c r="B98" s="2">
        <f t="shared" si="3"/>
        <v>1.7172999999999998</v>
      </c>
      <c r="C98" s="2">
        <f t="shared" si="4"/>
        <v>1.1362000000000001</v>
      </c>
      <c r="D98" s="2">
        <f t="shared" si="5"/>
        <v>0.92349999999999999</v>
      </c>
      <c r="E98" s="2">
        <f t="shared" si="6"/>
        <v>0.81980000000000008</v>
      </c>
      <c r="F98" s="2">
        <f t="shared" si="7"/>
        <v>0.8012999999999999</v>
      </c>
      <c r="G98" s="2"/>
      <c r="H98" s="2"/>
      <c r="I98" s="2"/>
      <c r="J98" s="2">
        <f t="shared" si="8"/>
        <v>0.74270000000000003</v>
      </c>
      <c r="V98" s="12"/>
      <c r="W98" s="12"/>
    </row>
    <row r="99" spans="1:23" x14ac:dyDescent="0.25">
      <c r="A99" s="2">
        <v>6</v>
      </c>
      <c r="B99" s="2">
        <f t="shared" si="3"/>
        <v>2.4744999999999999</v>
      </c>
      <c r="C99" s="2">
        <f t="shared" si="4"/>
        <v>1.4512</v>
      </c>
      <c r="D99" s="2">
        <f t="shared" si="5"/>
        <v>1.0975000000000001</v>
      </c>
      <c r="E99" s="2">
        <f t="shared" si="6"/>
        <v>0.94800000000000006</v>
      </c>
      <c r="F99" s="2">
        <f t="shared" si="7"/>
        <v>0.91849999999999998</v>
      </c>
      <c r="G99" s="2"/>
      <c r="H99" s="2"/>
      <c r="I99" s="2"/>
      <c r="J99" s="2">
        <f t="shared" si="8"/>
        <v>0.84450000000000003</v>
      </c>
      <c r="V99" s="12"/>
      <c r="W99" s="12"/>
    </row>
    <row r="100" spans="1:23" x14ac:dyDescent="0.25">
      <c r="A100" s="2">
        <v>8</v>
      </c>
      <c r="B100" s="2">
        <f t="shared" si="3"/>
        <v>3.3557000000000001</v>
      </c>
      <c r="C100" s="2">
        <f t="shared" si="4"/>
        <v>1.7869999999999999</v>
      </c>
      <c r="D100" s="2">
        <f t="shared" si="5"/>
        <v>1.2715000000000001</v>
      </c>
      <c r="E100" s="2">
        <f t="shared" si="6"/>
        <v>1.0762</v>
      </c>
      <c r="F100" s="2">
        <f t="shared" si="7"/>
        <v>1.0356999999999998</v>
      </c>
      <c r="G100" s="2"/>
      <c r="H100" s="2"/>
      <c r="I100" s="2"/>
      <c r="J100" s="2">
        <f t="shared" si="8"/>
        <v>0.94630000000000003</v>
      </c>
      <c r="V100" s="12"/>
      <c r="W100" s="12"/>
    </row>
    <row r="101" spans="1:23" x14ac:dyDescent="0.25">
      <c r="A101" s="2">
        <v>10</v>
      </c>
      <c r="B101" s="2">
        <f t="shared" si="3"/>
        <v>4.3608999999999991</v>
      </c>
      <c r="C101" s="2">
        <f t="shared" si="4"/>
        <v>2.1436000000000002</v>
      </c>
      <c r="D101" s="2">
        <f t="shared" si="5"/>
        <v>1.4455</v>
      </c>
      <c r="E101" s="2">
        <f t="shared" si="6"/>
        <v>1.2044000000000001</v>
      </c>
      <c r="F101" s="2">
        <f t="shared" si="7"/>
        <v>1.1528999999999998</v>
      </c>
      <c r="G101" s="2"/>
      <c r="H101" s="2"/>
      <c r="I101" s="2"/>
      <c r="J101" s="2">
        <f t="shared" si="8"/>
        <v>1.0481</v>
      </c>
      <c r="V101" s="12"/>
      <c r="W101" s="12"/>
    </row>
    <row r="102" spans="1:23" x14ac:dyDescent="0.25">
      <c r="A102" s="2">
        <v>8</v>
      </c>
      <c r="B102" s="2">
        <f t="shared" si="3"/>
        <v>3.3557000000000001</v>
      </c>
      <c r="C102" s="2">
        <f t="shared" si="4"/>
        <v>1.7869999999999999</v>
      </c>
      <c r="D102" s="2">
        <f t="shared" si="5"/>
        <v>1.2715000000000001</v>
      </c>
      <c r="E102" s="2">
        <f t="shared" si="6"/>
        <v>1.0762</v>
      </c>
      <c r="F102" s="2">
        <f t="shared" si="7"/>
        <v>1.0356999999999998</v>
      </c>
      <c r="G102" s="2"/>
      <c r="H102" s="2"/>
      <c r="I102" s="2"/>
      <c r="J102" s="2">
        <f t="shared" si="8"/>
        <v>0.94630000000000003</v>
      </c>
    </row>
    <row r="103" spans="1:23" x14ac:dyDescent="0.25">
      <c r="A103" s="2">
        <v>10</v>
      </c>
      <c r="B103" s="2">
        <f t="shared" si="3"/>
        <v>4.3608999999999991</v>
      </c>
      <c r="C103" s="2">
        <f t="shared" si="4"/>
        <v>2.1436000000000002</v>
      </c>
      <c r="D103" s="2">
        <f t="shared" si="5"/>
        <v>1.4455</v>
      </c>
      <c r="E103" s="2">
        <f t="shared" si="6"/>
        <v>1.2044000000000001</v>
      </c>
      <c r="F103" s="2">
        <f t="shared" si="7"/>
        <v>1.1528999999999998</v>
      </c>
      <c r="G103" s="2"/>
      <c r="H103" s="2"/>
      <c r="I103" s="2"/>
      <c r="J103" s="2">
        <f t="shared" si="8"/>
        <v>1.0481</v>
      </c>
    </row>
    <row r="104" spans="1:23" x14ac:dyDescent="0.25">
      <c r="A104" s="2">
        <v>11</v>
      </c>
      <c r="B104" s="2">
        <f t="shared" si="3"/>
        <v>4.91</v>
      </c>
      <c r="C104" s="2">
        <f t="shared" si="4"/>
        <v>2.3296999999999999</v>
      </c>
      <c r="D104" s="2">
        <f t="shared" si="5"/>
        <v>1.5325</v>
      </c>
      <c r="E104" s="2">
        <f t="shared" si="6"/>
        <v>1.2685</v>
      </c>
      <c r="F104" s="2">
        <f t="shared" si="7"/>
        <v>1.2115</v>
      </c>
      <c r="G104" s="2"/>
      <c r="H104" s="2"/>
      <c r="I104" s="2"/>
      <c r="J104" s="2">
        <f t="shared" si="8"/>
        <v>1.0990000000000002</v>
      </c>
    </row>
    <row r="105" spans="1:23" x14ac:dyDescent="0.25">
      <c r="A105" s="2">
        <v>12</v>
      </c>
      <c r="B105" s="2">
        <f t="shared" si="3"/>
        <v>5.4901</v>
      </c>
      <c r="C105" s="2">
        <f t="shared" si="4"/>
        <v>2.5209999999999999</v>
      </c>
      <c r="D105" s="2">
        <f t="shared" si="5"/>
        <v>1.6194999999999999</v>
      </c>
      <c r="E105" s="2">
        <f t="shared" si="6"/>
        <v>1.3326000000000002</v>
      </c>
      <c r="F105" s="2">
        <f t="shared" si="7"/>
        <v>1.2701</v>
      </c>
      <c r="G105" s="2"/>
      <c r="H105" s="2"/>
      <c r="I105" s="2"/>
      <c r="J105" s="2">
        <f t="shared" si="8"/>
        <v>1.1499000000000001</v>
      </c>
    </row>
    <row r="110" spans="1:23" x14ac:dyDescent="0.25">
      <c r="A110" s="2"/>
      <c r="B110" s="2">
        <f>A94</f>
        <v>-4</v>
      </c>
      <c r="C110" s="2">
        <f>A95</f>
        <v>-2</v>
      </c>
      <c r="D110" s="2">
        <f>A96</f>
        <v>0</v>
      </c>
      <c r="E110" s="2">
        <f>A97</f>
        <v>2</v>
      </c>
      <c r="F110" s="2">
        <f>A98</f>
        <v>4</v>
      </c>
      <c r="G110" s="2">
        <f>A99</f>
        <v>6</v>
      </c>
      <c r="H110" s="2">
        <f>A100</f>
        <v>8</v>
      </c>
      <c r="I110" s="2">
        <f>A101</f>
        <v>10</v>
      </c>
    </row>
    <row r="111" spans="1:23" x14ac:dyDescent="0.25">
      <c r="A111" s="2">
        <f>B80</f>
        <v>4.2000000000000003E-2</v>
      </c>
      <c r="B111" s="2">
        <f>B94</f>
        <v>-7.1500000000000008E-2</v>
      </c>
      <c r="C111" s="2">
        <f>B95</f>
        <v>0.18969999999999998</v>
      </c>
      <c r="D111" s="2">
        <f>B96</f>
        <v>0.57489999999999997</v>
      </c>
      <c r="E111" s="2">
        <f>B97</f>
        <v>1.0840999999999998</v>
      </c>
      <c r="F111" s="2"/>
      <c r="G111" s="2"/>
      <c r="H111" s="2"/>
      <c r="I111" s="2"/>
    </row>
    <row r="112" spans="1:23" x14ac:dyDescent="0.25">
      <c r="A112" s="2">
        <f>C80</f>
        <v>8.3000000000000004E-2</v>
      </c>
      <c r="B112" s="2">
        <f>C94</f>
        <v>8.4199999999999942E-2</v>
      </c>
      <c r="C112" s="2">
        <f>C95</f>
        <v>0.316</v>
      </c>
      <c r="D112" s="2">
        <f>C96</f>
        <v>0.56859999999999999</v>
      </c>
      <c r="E112" s="2">
        <f>C97</f>
        <v>0.84200000000000008</v>
      </c>
      <c r="F112" s="2">
        <f>C98</f>
        <v>1.1362000000000001</v>
      </c>
      <c r="G112" s="2"/>
      <c r="H112" s="2"/>
      <c r="I112" s="2"/>
    </row>
    <row r="113" spans="1:9" x14ac:dyDescent="0.25">
      <c r="A113" s="2">
        <f>D80</f>
        <v>0.16700000000000001</v>
      </c>
      <c r="B113" s="2">
        <f>D94</f>
        <v>0.22750000000000004</v>
      </c>
      <c r="C113" s="2">
        <f>D95</f>
        <v>0.40150000000000002</v>
      </c>
      <c r="D113" s="2">
        <f>D96</f>
        <v>0.57550000000000001</v>
      </c>
      <c r="E113" s="2">
        <f>D97</f>
        <v>0.74950000000000006</v>
      </c>
      <c r="F113" s="2">
        <f>D98</f>
        <v>0.92349999999999999</v>
      </c>
      <c r="G113" s="2">
        <f>D99</f>
        <v>1.0975000000000001</v>
      </c>
      <c r="H113" s="2">
        <f>D100</f>
        <v>1.2715000000000001</v>
      </c>
      <c r="I113" s="2">
        <f>D101</f>
        <v>1.4455</v>
      </c>
    </row>
    <row r="114" spans="1:9" x14ac:dyDescent="0.25">
      <c r="A114" s="2">
        <f>E80</f>
        <v>0.33300000000000002</v>
      </c>
      <c r="B114" s="2">
        <f>E94</f>
        <v>0.307</v>
      </c>
      <c r="C114" s="2">
        <f>E95</f>
        <v>0.43520000000000003</v>
      </c>
      <c r="D114" s="2">
        <f>E96</f>
        <v>0.56340000000000001</v>
      </c>
      <c r="E114" s="2">
        <f>E97</f>
        <v>0.69159999999999999</v>
      </c>
      <c r="F114" s="2">
        <f>E98</f>
        <v>0.81980000000000008</v>
      </c>
      <c r="G114" s="2">
        <f>E99</f>
        <v>0.94800000000000006</v>
      </c>
      <c r="H114" s="2">
        <f>E100</f>
        <v>1.0762</v>
      </c>
      <c r="I114" s="2">
        <f>E101</f>
        <v>1.2044000000000001</v>
      </c>
    </row>
    <row r="115" spans="1:9" x14ac:dyDescent="0.25">
      <c r="A115" s="2">
        <f>F80</f>
        <v>0.5</v>
      </c>
      <c r="B115" s="2">
        <f>F94</f>
        <v>0.33249999999999996</v>
      </c>
      <c r="C115" s="2">
        <f>F95</f>
        <v>0.44969999999999999</v>
      </c>
      <c r="D115" s="2">
        <f>F96</f>
        <v>0.56689999999999996</v>
      </c>
      <c r="E115" s="2">
        <f>F97</f>
        <v>0.68409999999999993</v>
      </c>
      <c r="F115" s="2">
        <f>F98</f>
        <v>0.8012999999999999</v>
      </c>
      <c r="G115" s="2">
        <f>F99</f>
        <v>0.91849999999999998</v>
      </c>
      <c r="H115" s="2">
        <f>F100</f>
        <v>1.0356999999999998</v>
      </c>
      <c r="I115" s="2">
        <f>F101</f>
        <v>1.1528999999999998</v>
      </c>
    </row>
    <row r="116" spans="1:9" x14ac:dyDescent="0.25">
      <c r="A116" s="2">
        <v>1000</v>
      </c>
      <c r="B116" s="2">
        <f>J94</f>
        <v>0.33550000000000002</v>
      </c>
      <c r="C116" s="2">
        <f>J95</f>
        <v>0.43730000000000002</v>
      </c>
      <c r="D116" s="2">
        <f>J96</f>
        <v>0.53910000000000002</v>
      </c>
      <c r="E116" s="2">
        <f>J97</f>
        <v>0.64090000000000003</v>
      </c>
      <c r="F116" s="2">
        <f>J98</f>
        <v>0.74270000000000003</v>
      </c>
      <c r="G116" s="2">
        <f>J99</f>
        <v>0.84450000000000003</v>
      </c>
      <c r="H116" s="2">
        <f>J100</f>
        <v>0.94630000000000003</v>
      </c>
      <c r="I116" s="2">
        <f>J101</f>
        <v>1.0481</v>
      </c>
    </row>
    <row r="120" spans="1:9" x14ac:dyDescent="0.25">
      <c r="A120" t="s">
        <v>63</v>
      </c>
      <c r="B120" s="1">
        <f>'Aircraft Parameters'!C24</f>
        <v>16</v>
      </c>
    </row>
    <row r="123" spans="1:9" x14ac:dyDescent="0.25">
      <c r="A123" s="12" t="s">
        <v>22</v>
      </c>
      <c r="B123" s="12" t="s">
        <v>62</v>
      </c>
      <c r="C123" s="12" t="s">
        <v>64</v>
      </c>
      <c r="D123" s="12" t="s">
        <v>65</v>
      </c>
    </row>
    <row r="124" spans="1:9" x14ac:dyDescent="0.25">
      <c r="A124" s="12">
        <v>0.1</v>
      </c>
      <c r="B124" s="3">
        <f>A124/$B$120</f>
        <v>6.2500000000000003E-3</v>
      </c>
      <c r="C124" s="3">
        <f>(1-1.32*B124)/(1.05+7.4*B124)</f>
        <v>0.90467502850627146</v>
      </c>
      <c r="D124" s="12">
        <f>1/(1-C124)</f>
        <v>10.490430622009578</v>
      </c>
    </row>
    <row r="125" spans="1:9" x14ac:dyDescent="0.25">
      <c r="A125" s="12">
        <v>0.2</v>
      </c>
      <c r="B125" s="3">
        <f t="shared" ref="B125:B155" si="9">A125/$B$120</f>
        <v>1.2500000000000001E-2</v>
      </c>
      <c r="C125" s="3">
        <f t="shared" ref="C125:C155" si="10">(1-1.32*B125)/(1.05+7.4*B125)</f>
        <v>0.8608315098468271</v>
      </c>
      <c r="D125" s="12">
        <f t="shared" ref="D125:D155" si="11">1/(1-C125)</f>
        <v>7.1855345911949673</v>
      </c>
    </row>
    <row r="126" spans="1:9" x14ac:dyDescent="0.25">
      <c r="A126" s="12">
        <v>0.3</v>
      </c>
      <c r="B126" s="3">
        <f t="shared" si="9"/>
        <v>1.8749999999999999E-2</v>
      </c>
      <c r="C126" s="3">
        <f t="shared" si="10"/>
        <v>0.82039957939011565</v>
      </c>
      <c r="D126" s="12">
        <f t="shared" si="11"/>
        <v>5.5679156908665099</v>
      </c>
    </row>
    <row r="127" spans="1:9" x14ac:dyDescent="0.25">
      <c r="A127" s="12">
        <v>0.4</v>
      </c>
      <c r="B127" s="3">
        <f t="shared" si="9"/>
        <v>2.5000000000000001E-2</v>
      </c>
      <c r="C127" s="3">
        <f t="shared" si="10"/>
        <v>0.78299595141700395</v>
      </c>
      <c r="D127" s="12">
        <f t="shared" si="11"/>
        <v>4.608208955223879</v>
      </c>
    </row>
    <row r="128" spans="1:9" x14ac:dyDescent="0.25">
      <c r="A128" s="12">
        <v>0.5</v>
      </c>
      <c r="B128" s="3">
        <f t="shared" si="9"/>
        <v>3.125E-2</v>
      </c>
      <c r="C128" s="3">
        <f t="shared" si="10"/>
        <v>0.74829268292682927</v>
      </c>
      <c r="D128" s="12">
        <f t="shared" si="11"/>
        <v>3.9728682170542635</v>
      </c>
    </row>
    <row r="129" spans="1:4" x14ac:dyDescent="0.25">
      <c r="A129" s="12">
        <v>0.6</v>
      </c>
      <c r="B129" s="3">
        <f t="shared" si="9"/>
        <v>3.7499999999999999E-2</v>
      </c>
      <c r="C129" s="3">
        <f t="shared" si="10"/>
        <v>0.7160075329566854</v>
      </c>
      <c r="D129" s="12">
        <f t="shared" si="11"/>
        <v>3.5212201591511922</v>
      </c>
    </row>
    <row r="130" spans="1:4" x14ac:dyDescent="0.25">
      <c r="A130" s="12">
        <v>0.7</v>
      </c>
      <c r="B130" s="3">
        <f t="shared" si="9"/>
        <v>4.3749999999999997E-2</v>
      </c>
      <c r="C130" s="3">
        <f t="shared" si="10"/>
        <v>0.68589626933575976</v>
      </c>
      <c r="D130" s="12">
        <f t="shared" si="11"/>
        <v>3.1836616454229429</v>
      </c>
    </row>
    <row r="131" spans="1:4" x14ac:dyDescent="0.25">
      <c r="A131" s="12">
        <v>0.8</v>
      </c>
      <c r="B131" s="3">
        <f t="shared" si="9"/>
        <v>0.05</v>
      </c>
      <c r="C131" s="3">
        <f t="shared" si="10"/>
        <v>0.65774647887323934</v>
      </c>
      <c r="D131" s="12">
        <f t="shared" si="11"/>
        <v>2.9218106995884767</v>
      </c>
    </row>
    <row r="132" spans="1:4" x14ac:dyDescent="0.25">
      <c r="A132" s="12">
        <v>0.9</v>
      </c>
      <c r="B132" s="3">
        <f t="shared" si="9"/>
        <v>5.6250000000000001E-2</v>
      </c>
      <c r="C132" s="3">
        <f t="shared" si="10"/>
        <v>0.63137254901960782</v>
      </c>
      <c r="D132" s="12">
        <f t="shared" si="11"/>
        <v>2.7127659574468082</v>
      </c>
    </row>
    <row r="133" spans="1:4" x14ac:dyDescent="0.25">
      <c r="A133" s="12">
        <v>1</v>
      </c>
      <c r="B133" s="3">
        <f t="shared" si="9"/>
        <v>6.25E-2</v>
      </c>
      <c r="C133" s="3">
        <f t="shared" si="10"/>
        <v>0.60661157024793377</v>
      </c>
      <c r="D133" s="12">
        <f t="shared" si="11"/>
        <v>2.5420168067226885</v>
      </c>
    </row>
    <row r="134" spans="1:4" x14ac:dyDescent="0.25">
      <c r="A134" s="12">
        <v>1.1000000000000001</v>
      </c>
      <c r="B134" s="3">
        <f t="shared" si="9"/>
        <v>6.8750000000000006E-2</v>
      </c>
      <c r="C134" s="3">
        <f t="shared" si="10"/>
        <v>0.58331996792301521</v>
      </c>
      <c r="D134" s="12">
        <f t="shared" si="11"/>
        <v>2.3999230177059276</v>
      </c>
    </row>
    <row r="135" spans="1:4" x14ac:dyDescent="0.25">
      <c r="A135" s="12">
        <v>1.2</v>
      </c>
      <c r="B135" s="3">
        <f t="shared" si="9"/>
        <v>7.4999999999999997E-2</v>
      </c>
      <c r="C135" s="3">
        <f t="shared" si="10"/>
        <v>0.56137071651090342</v>
      </c>
      <c r="D135" s="12">
        <f t="shared" si="11"/>
        <v>2.2798295454545454</v>
      </c>
    </row>
    <row r="136" spans="1:4" x14ac:dyDescent="0.25">
      <c r="A136" s="12">
        <v>1.3</v>
      </c>
      <c r="B136" s="3">
        <f t="shared" si="9"/>
        <v>8.1250000000000003E-2</v>
      </c>
      <c r="C136" s="3">
        <f t="shared" si="10"/>
        <v>0.5406510219530658</v>
      </c>
      <c r="D136" s="12">
        <f t="shared" si="11"/>
        <v>2.1769940672379695</v>
      </c>
    </row>
    <row r="137" spans="1:4" x14ac:dyDescent="0.25">
      <c r="A137" s="12">
        <v>1.4</v>
      </c>
      <c r="B137" s="3">
        <f t="shared" si="9"/>
        <v>8.7499999999999994E-2</v>
      </c>
      <c r="C137" s="3">
        <f t="shared" si="10"/>
        <v>0.52106038291605306</v>
      </c>
      <c r="D137" s="12">
        <f t="shared" si="11"/>
        <v>2.0879458794587946</v>
      </c>
    </row>
    <row r="138" spans="1:4" x14ac:dyDescent="0.25">
      <c r="A138" s="12">
        <v>1.5</v>
      </c>
      <c r="B138" s="3">
        <f t="shared" si="9"/>
        <v>9.375E-2</v>
      </c>
      <c r="C138" s="3">
        <f t="shared" si="10"/>
        <v>0.5025089605734766</v>
      </c>
      <c r="D138" s="12">
        <f t="shared" si="11"/>
        <v>2.0100864553314115</v>
      </c>
    </row>
    <row r="139" spans="1:4" x14ac:dyDescent="0.25">
      <c r="A139" s="12">
        <v>1.6</v>
      </c>
      <c r="B139" s="3">
        <f t="shared" si="9"/>
        <v>0.1</v>
      </c>
      <c r="C139" s="3">
        <f t="shared" si="10"/>
        <v>0.48491620111731842</v>
      </c>
      <c r="D139" s="12">
        <f t="shared" si="11"/>
        <v>1.9414316702819958</v>
      </c>
    </row>
    <row r="140" spans="1:4" x14ac:dyDescent="0.25">
      <c r="A140" s="12">
        <v>1.7</v>
      </c>
      <c r="B140" s="3">
        <f t="shared" si="9"/>
        <v>0.10625</v>
      </c>
      <c r="C140" s="3">
        <f t="shared" si="10"/>
        <v>0.46820966643975492</v>
      </c>
      <c r="D140" s="12">
        <f t="shared" si="11"/>
        <v>1.8804403481822836</v>
      </c>
    </row>
    <row r="141" spans="1:4" x14ac:dyDescent="0.25">
      <c r="A141" s="12">
        <v>1.8</v>
      </c>
      <c r="B141" s="3">
        <f t="shared" si="9"/>
        <v>0.1125</v>
      </c>
      <c r="C141" s="3">
        <f t="shared" si="10"/>
        <v>0.45232403718459491</v>
      </c>
      <c r="D141" s="12">
        <f t="shared" si="11"/>
        <v>1.8258971871968961</v>
      </c>
    </row>
    <row r="142" spans="1:4" x14ac:dyDescent="0.25">
      <c r="A142" s="12">
        <v>1.9</v>
      </c>
      <c r="B142" s="3">
        <f t="shared" si="9"/>
        <v>0.11874999999999999</v>
      </c>
      <c r="C142" s="3">
        <f t="shared" si="10"/>
        <v>0.43720025923525602</v>
      </c>
      <c r="D142" s="12">
        <f t="shared" si="11"/>
        <v>1.7768309534776601</v>
      </c>
    </row>
    <row r="143" spans="1:4" x14ac:dyDescent="0.25">
      <c r="A143" s="12">
        <v>2</v>
      </c>
      <c r="B143" s="3">
        <f t="shared" si="9"/>
        <v>0.125</v>
      </c>
      <c r="C143" s="3">
        <f t="shared" si="10"/>
        <v>0.42278481012658226</v>
      </c>
      <c r="D143" s="12">
        <f t="shared" si="11"/>
        <v>1.7324561403508774</v>
      </c>
    </row>
    <row r="144" spans="1:4" x14ac:dyDescent="0.25">
      <c r="A144" s="12">
        <v>2.1</v>
      </c>
      <c r="B144" s="3">
        <f t="shared" si="9"/>
        <v>0.13125000000000001</v>
      </c>
      <c r="C144" s="3">
        <f t="shared" si="10"/>
        <v>0.40902906617192325</v>
      </c>
      <c r="D144" s="12">
        <f t="shared" si="11"/>
        <v>1.6921305985768103</v>
      </c>
    </row>
    <row r="145" spans="1:4" x14ac:dyDescent="0.25">
      <c r="A145" s="12">
        <v>2.2000000000000002</v>
      </c>
      <c r="B145" s="3">
        <f t="shared" si="9"/>
        <v>0.13750000000000001</v>
      </c>
      <c r="C145" s="3">
        <f t="shared" si="10"/>
        <v>0.39588875453446193</v>
      </c>
      <c r="D145" s="12">
        <f t="shared" si="11"/>
        <v>1.6553242594075261</v>
      </c>
    </row>
    <row r="146" spans="1:4" x14ac:dyDescent="0.25">
      <c r="A146" s="12">
        <v>2.2999999999999998</v>
      </c>
      <c r="B146" s="3">
        <f t="shared" si="9"/>
        <v>0.14374999999999999</v>
      </c>
      <c r="C146" s="3">
        <f t="shared" si="10"/>
        <v>0.3833234772324069</v>
      </c>
      <c r="D146" s="12">
        <f t="shared" si="11"/>
        <v>1.6215957038741851</v>
      </c>
    </row>
    <row r="147" spans="1:4" x14ac:dyDescent="0.25">
      <c r="A147" s="12">
        <v>2.4</v>
      </c>
      <c r="B147" s="3">
        <f t="shared" si="9"/>
        <v>0.15</v>
      </c>
      <c r="C147" s="3">
        <f t="shared" si="10"/>
        <v>0.37129629629629629</v>
      </c>
      <c r="D147" s="12">
        <f t="shared" si="11"/>
        <v>1.5905743740795286</v>
      </c>
    </row>
    <row r="148" spans="1:4" x14ac:dyDescent="0.25">
      <c r="A148" s="12">
        <v>2.5</v>
      </c>
      <c r="B148" s="3">
        <f t="shared" si="9"/>
        <v>0.15625</v>
      </c>
      <c r="C148" s="3">
        <f t="shared" si="10"/>
        <v>0.35977337110481589</v>
      </c>
      <c r="D148" s="12">
        <f t="shared" si="11"/>
        <v>1.5619469026548674</v>
      </c>
    </row>
    <row r="149" spans="1:4" x14ac:dyDescent="0.25">
      <c r="A149" s="12">
        <v>2.6</v>
      </c>
      <c r="B149" s="3">
        <f t="shared" si="9"/>
        <v>0.16250000000000001</v>
      </c>
      <c r="C149" s="3">
        <f t="shared" si="10"/>
        <v>0.348723640399556</v>
      </c>
      <c r="D149" s="12">
        <f t="shared" si="11"/>
        <v>1.5354464894342192</v>
      </c>
    </row>
    <row r="150" spans="1:4" x14ac:dyDescent="0.25">
      <c r="A150" s="12">
        <v>2.7</v>
      </c>
      <c r="B150" s="3">
        <f t="shared" si="9"/>
        <v>0.16875000000000001</v>
      </c>
      <c r="C150" s="3">
        <f t="shared" si="10"/>
        <v>0.33811854268624253</v>
      </c>
      <c r="D150" s="12">
        <f t="shared" si="11"/>
        <v>1.5108445612882024</v>
      </c>
    </row>
    <row r="151" spans="1:4" x14ac:dyDescent="0.25">
      <c r="A151" s="12">
        <v>2.8</v>
      </c>
      <c r="B151" s="3">
        <f t="shared" si="9"/>
        <v>0.17499999999999999</v>
      </c>
      <c r="C151" s="3">
        <f t="shared" si="10"/>
        <v>0.32793176972281451</v>
      </c>
      <c r="D151" s="12">
        <f t="shared" si="11"/>
        <v>1.4879441624365484</v>
      </c>
    </row>
    <row r="152" spans="1:4" x14ac:dyDescent="0.25">
      <c r="A152" s="12">
        <v>2.9</v>
      </c>
      <c r="B152" s="3">
        <f t="shared" si="9"/>
        <v>0.18124999999999999</v>
      </c>
      <c r="C152" s="3">
        <f t="shared" si="10"/>
        <v>0.31813904861474124</v>
      </c>
      <c r="D152" s="12">
        <f t="shared" si="11"/>
        <v>1.4665746703465197</v>
      </c>
    </row>
    <row r="153" spans="1:4" x14ac:dyDescent="0.25">
      <c r="A153" s="12">
        <v>3</v>
      </c>
      <c r="B153" s="3">
        <f t="shared" si="9"/>
        <v>0.1875</v>
      </c>
      <c r="C153" s="3">
        <f t="shared" si="10"/>
        <v>0.30871794871794872</v>
      </c>
      <c r="D153" s="12">
        <f t="shared" si="11"/>
        <v>1.4465875370919883</v>
      </c>
    </row>
    <row r="154" spans="1:4" x14ac:dyDescent="0.25">
      <c r="A154" s="12">
        <v>3.1</v>
      </c>
      <c r="B154" s="3">
        <f t="shared" si="9"/>
        <v>0.19375000000000001</v>
      </c>
      <c r="C154" s="3">
        <f t="shared" si="10"/>
        <v>0.29964771011575236</v>
      </c>
      <c r="D154" s="12">
        <f t="shared" si="11"/>
        <v>1.4278528312733545</v>
      </c>
    </row>
    <row r="155" spans="1:4" x14ac:dyDescent="0.25">
      <c r="A155" s="12">
        <v>3.2</v>
      </c>
      <c r="B155" s="3">
        <f t="shared" si="9"/>
        <v>0.2</v>
      </c>
      <c r="C155" s="3">
        <f t="shared" si="10"/>
        <v>0.29090909090909089</v>
      </c>
      <c r="D155" s="12">
        <f t="shared" si="11"/>
        <v>1.4102564102564101</v>
      </c>
    </row>
    <row r="156" spans="1:4" x14ac:dyDescent="0.25">
      <c r="A156" s="14">
        <v>3.3</v>
      </c>
      <c r="B156" s="3">
        <f t="shared" ref="B156:B176" si="12">A156/$B$120</f>
        <v>0.20624999999999999</v>
      </c>
      <c r="C156" s="3">
        <f t="shared" ref="C156:C176" si="13">(1-1.32*B156)/(1.05+7.4*B156)</f>
        <v>0.28248423095584668</v>
      </c>
      <c r="D156" s="14">
        <f t="shared" ref="D156:D176" si="14">1/(1-C156)</f>
        <v>1.3936975926426831</v>
      </c>
    </row>
    <row r="157" spans="1:4" x14ac:dyDescent="0.25">
      <c r="A157" s="14">
        <v>3.4</v>
      </c>
      <c r="B157" s="3">
        <f t="shared" si="12"/>
        <v>0.21249999999999999</v>
      </c>
      <c r="C157" s="3">
        <f t="shared" si="13"/>
        <v>0.27435653002859867</v>
      </c>
      <c r="D157" s="14">
        <f t="shared" si="14"/>
        <v>1.3780872306883867</v>
      </c>
    </row>
    <row r="158" spans="1:4" x14ac:dyDescent="0.25">
      <c r="A158" s="14">
        <v>3.5</v>
      </c>
      <c r="B158" s="3">
        <f t="shared" si="12"/>
        <v>0.21875</v>
      </c>
      <c r="C158" s="3">
        <f t="shared" si="13"/>
        <v>0.26651053864168617</v>
      </c>
      <c r="D158" s="14">
        <f t="shared" si="14"/>
        <v>1.363346104725415</v>
      </c>
    </row>
    <row r="159" spans="1:4" x14ac:dyDescent="0.25">
      <c r="A159" s="14">
        <v>3.6</v>
      </c>
      <c r="B159" s="3">
        <f t="shared" si="12"/>
        <v>0.22500000000000001</v>
      </c>
      <c r="C159" s="3">
        <f t="shared" si="13"/>
        <v>0.25893186003683238</v>
      </c>
      <c r="D159" s="14">
        <f t="shared" si="14"/>
        <v>1.3494035785288272</v>
      </c>
    </row>
    <row r="160" spans="1:4" x14ac:dyDescent="0.25">
      <c r="A160" s="14">
        <v>3.7</v>
      </c>
      <c r="B160" s="3">
        <f t="shared" si="12"/>
        <v>0.23125000000000001</v>
      </c>
      <c r="C160" s="3">
        <f t="shared" si="13"/>
        <v>0.25160706201901306</v>
      </c>
      <c r="D160" s="14">
        <f t="shared" si="14"/>
        <v>1.3361964674570528</v>
      </c>
    </row>
    <row r="161" spans="1:4" x14ac:dyDescent="0.25">
      <c r="A161" s="14">
        <v>3.8</v>
      </c>
      <c r="B161" s="3">
        <f t="shared" si="12"/>
        <v>0.23749999999999999</v>
      </c>
      <c r="C161" s="3">
        <f t="shared" si="13"/>
        <v>0.24452359750667854</v>
      </c>
      <c r="D161" s="14">
        <f t="shared" si="14"/>
        <v>1.3236680810938237</v>
      </c>
    </row>
    <row r="162" spans="1:4" x14ac:dyDescent="0.25">
      <c r="A162" s="14">
        <v>3.9</v>
      </c>
      <c r="B162" s="3">
        <f t="shared" si="12"/>
        <v>0.24374999999999999</v>
      </c>
      <c r="C162" s="3">
        <f t="shared" si="13"/>
        <v>0.23766973280770917</v>
      </c>
      <c r="D162" s="14">
        <f t="shared" si="14"/>
        <v>1.3117674097908527</v>
      </c>
    </row>
    <row r="163" spans="1:4" x14ac:dyDescent="0.25">
      <c r="A163" s="14">
        <v>4</v>
      </c>
      <c r="B163" s="3">
        <f t="shared" si="12"/>
        <v>0.25</v>
      </c>
      <c r="C163" s="3">
        <f t="shared" si="13"/>
        <v>0.23103448275862062</v>
      </c>
      <c r="D163" s="14">
        <f t="shared" si="14"/>
        <v>1.3004484304932733</v>
      </c>
    </row>
    <row r="164" spans="1:4" x14ac:dyDescent="0.25">
      <c r="A164" s="14">
        <v>4.0999999999999996</v>
      </c>
      <c r="B164" s="3">
        <f t="shared" si="12"/>
        <v>0.25624999999999998</v>
      </c>
      <c r="C164" s="3">
        <f t="shared" si="13"/>
        <v>0.22460755197284685</v>
      </c>
      <c r="D164" s="14">
        <f t="shared" si="14"/>
        <v>1.289669511928212</v>
      </c>
    </row>
    <row r="165" spans="1:4" x14ac:dyDescent="0.25">
      <c r="A165" s="14">
        <v>4.2</v>
      </c>
      <c r="B165" s="3">
        <f t="shared" si="12"/>
        <v>0.26250000000000001</v>
      </c>
      <c r="C165" s="3">
        <f t="shared" si="13"/>
        <v>0.21837928153717626</v>
      </c>
      <c r="D165" s="14">
        <f t="shared" si="14"/>
        <v>1.2793929029499786</v>
      </c>
    </row>
    <row r="166" spans="1:4" x14ac:dyDescent="0.25">
      <c r="A166" s="14">
        <v>4.3</v>
      </c>
      <c r="B166" s="3">
        <f t="shared" si="12"/>
        <v>0.26874999999999999</v>
      </c>
      <c r="C166" s="3">
        <f t="shared" si="13"/>
        <v>0.21234060057589468</v>
      </c>
      <c r="D166" s="14">
        <f t="shared" si="14"/>
        <v>1.2695842907875496</v>
      </c>
    </row>
    <row r="167" spans="1:4" x14ac:dyDescent="0.25">
      <c r="A167" s="14">
        <v>4.4000000000000004</v>
      </c>
      <c r="B167" s="3">
        <f t="shared" si="12"/>
        <v>0.27500000000000002</v>
      </c>
      <c r="C167" s="3">
        <f t="shared" si="13"/>
        <v>0.20648298217179903</v>
      </c>
      <c r="D167" s="14">
        <f t="shared" si="14"/>
        <v>1.2602124183006536</v>
      </c>
    </row>
    <row r="168" spans="1:4" x14ac:dyDescent="0.25">
      <c r="A168" s="14">
        <v>4.5</v>
      </c>
      <c r="B168" s="3">
        <f t="shared" si="12"/>
        <v>0.28125</v>
      </c>
      <c r="C168" s="3">
        <f t="shared" si="13"/>
        <v>0.20079840319361272</v>
      </c>
      <c r="D168" s="14">
        <f t="shared" si="14"/>
        <v>1.2512487512487511</v>
      </c>
    </row>
    <row r="169" spans="1:4" x14ac:dyDescent="0.25">
      <c r="A169" s="14">
        <v>4.5999999999999996</v>
      </c>
      <c r="B169" s="3">
        <f t="shared" si="12"/>
        <v>0.28749999999999998</v>
      </c>
      <c r="C169" s="3">
        <f t="shared" si="13"/>
        <v>0.195279307631786</v>
      </c>
      <c r="D169" s="14">
        <f t="shared" si="14"/>
        <v>1.2426671881110678</v>
      </c>
    </row>
    <row r="170" spans="1:4" x14ac:dyDescent="0.25">
      <c r="A170" s="14">
        <v>4.7</v>
      </c>
      <c r="B170" s="3">
        <f t="shared" si="12"/>
        <v>0.29375000000000001</v>
      </c>
      <c r="C170" s="3">
        <f t="shared" si="13"/>
        <v>0.1899185730903451</v>
      </c>
      <c r="D170" s="14">
        <f t="shared" si="14"/>
        <v>1.2344438062416236</v>
      </c>
    </row>
    <row r="171" spans="1:4" x14ac:dyDescent="0.25">
      <c r="A171" s="14">
        <v>4.8</v>
      </c>
      <c r="B171" s="3">
        <f t="shared" si="12"/>
        <v>0.3</v>
      </c>
      <c r="C171" s="3">
        <f t="shared" si="13"/>
        <v>0.18470948012232413</v>
      </c>
      <c r="D171" s="14">
        <f t="shared" si="14"/>
        <v>1.22655663915979</v>
      </c>
    </row>
    <row r="172" spans="1:4" x14ac:dyDescent="0.25">
      <c r="A172" s="14">
        <v>4.9000000000000004</v>
      </c>
      <c r="B172" s="3">
        <f t="shared" si="12"/>
        <v>0.30625000000000002</v>
      </c>
      <c r="C172" s="3">
        <f t="shared" si="13"/>
        <v>0.17964568413117224</v>
      </c>
      <c r="D172" s="14">
        <f t="shared" si="14"/>
        <v>1.2189854806101819</v>
      </c>
    </row>
    <row r="173" spans="1:4" x14ac:dyDescent="0.25">
      <c r="A173" s="14">
        <v>5</v>
      </c>
      <c r="B173" s="3">
        <f t="shared" si="12"/>
        <v>0.3125</v>
      </c>
      <c r="C173" s="3">
        <f t="shared" si="13"/>
        <v>0.17472118959107805</v>
      </c>
      <c r="D173" s="14">
        <f t="shared" si="14"/>
        <v>1.2117117117117118</v>
      </c>
    </row>
    <row r="174" spans="1:4" x14ac:dyDescent="0.25">
      <c r="A174" s="14">
        <v>5.0999999999999996</v>
      </c>
      <c r="B174" s="3">
        <f t="shared" si="12"/>
        <v>0.31874999999999998</v>
      </c>
      <c r="C174" s="3">
        <f t="shared" si="13"/>
        <v>0.16993032636596991</v>
      </c>
      <c r="D174" s="14">
        <f t="shared" si="14"/>
        <v>1.2047181480827001</v>
      </c>
    </row>
    <row r="175" spans="1:4" x14ac:dyDescent="0.25">
      <c r="A175" s="14">
        <v>5.2</v>
      </c>
      <c r="B175" s="3">
        <f t="shared" si="12"/>
        <v>0.32500000000000001</v>
      </c>
      <c r="C175" s="3">
        <f t="shared" si="13"/>
        <v>0.16526772793053543</v>
      </c>
      <c r="D175" s="14">
        <f t="shared" si="14"/>
        <v>1.1979889042995839</v>
      </c>
    </row>
    <row r="176" spans="1:4" x14ac:dyDescent="0.25">
      <c r="A176" s="14">
        <v>5.3</v>
      </c>
      <c r="B176" s="3">
        <f t="shared" si="12"/>
        <v>0.33124999999999999</v>
      </c>
      <c r="C176" s="3">
        <f t="shared" si="13"/>
        <v>0.16072831131738666</v>
      </c>
      <c r="D176" s="14">
        <f t="shared" si="14"/>
        <v>1.1915092734388293</v>
      </c>
    </row>
  </sheetData>
  <hyperlinks>
    <hyperlink ref="AG42" r:id="rId1" tooltip="Lift (force)" display="http://en.wikipedia.org/wiki/Lift_(force)"/>
    <hyperlink ref="AG70" r:id="rId2" tooltip="Airfoil" display="http://en.wikipedia.org/wiki/Airfoil"/>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READ ME</vt:lpstr>
      <vt:lpstr>4.0 References</vt:lpstr>
      <vt:lpstr>Aircraft Parameters</vt:lpstr>
      <vt:lpstr>Performance Summary</vt:lpstr>
      <vt:lpstr>Graphs</vt:lpstr>
      <vt:lpstr>'4.0 References'!Print_Area</vt:lpstr>
      <vt:lpstr>'Aircraft Parameters'!Print_Area</vt:lpstr>
      <vt:lpstr>'Performance Summary'!Print_Area</vt:lpstr>
      <vt:lpstr>'READ 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Abbott Aerospace</dc:creator>
  <cp:keywords>Stress; Structures; Analysis</cp:keywords>
  <dc:description>N/A</dc:description>
  <cp:lastModifiedBy>Richard Abbott</cp:lastModifiedBy>
  <cp:lastPrinted>2010-01-08T14:47:13Z</cp:lastPrinted>
  <dcterms:created xsi:type="dcterms:W3CDTF">2009-07-22T11:05:33Z</dcterms:created>
  <dcterms:modified xsi:type="dcterms:W3CDTF">2016-03-08T02:55:44Z</dcterms:modified>
  <cp:category>Engineering Spreadsheets</cp:category>
</cp:coreProperties>
</file>