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AC18" i="11" l="1"/>
  <c r="W18" i="11"/>
  <c r="W19" i="11" s="1"/>
  <c r="W20" i="11" s="1"/>
  <c r="W21" i="11" s="1"/>
  <c r="W22" i="11" s="1"/>
  <c r="AB17" i="11"/>
  <c r="C28" i="11"/>
  <c r="C32" i="11" s="1"/>
  <c r="C27" i="11"/>
  <c r="C26" i="11"/>
  <c r="F28" i="11" l="1"/>
  <c r="W23" i="11"/>
  <c r="W24" i="11" s="1"/>
  <c r="W25" i="11" s="1"/>
  <c r="W26" i="11" s="1"/>
  <c r="W27" i="11" s="1"/>
  <c r="W28" i="11" s="1"/>
  <c r="W29" i="11" s="1"/>
  <c r="W30" i="11" s="1"/>
  <c r="W31" i="11" s="1"/>
  <c r="W32" i="11" s="1"/>
  <c r="W33" i="11" s="1"/>
  <c r="W34" i="11" s="1"/>
  <c r="W35" i="11" s="1"/>
  <c r="W36" i="11" s="1"/>
  <c r="W37" i="11" s="1"/>
  <c r="W38" i="11" s="1"/>
  <c r="W39" i="11" s="1"/>
  <c r="W40" i="11" s="1"/>
  <c r="W41" i="11" s="1"/>
  <c r="W42" i="11" s="1"/>
  <c r="W43" i="11" s="1"/>
  <c r="W44" i="11" s="1"/>
  <c r="W45" i="11" s="1"/>
  <c r="W46" i="11" s="1"/>
  <c r="W47" i="11" s="1"/>
  <c r="W48" i="11" s="1"/>
  <c r="W49" i="11" s="1"/>
  <c r="W50" i="11" s="1"/>
  <c r="W51" i="11" s="1"/>
  <c r="W52" i="11" s="1"/>
  <c r="W53" i="11" s="1"/>
  <c r="X53" i="11" s="1"/>
  <c r="Y53" i="11" s="1"/>
  <c r="X22" i="11"/>
  <c r="Y22" i="11" s="1"/>
  <c r="X18" i="11"/>
  <c r="Y18" i="11" s="1"/>
  <c r="X21" i="11"/>
  <c r="Y21" i="11" s="1"/>
  <c r="X20" i="11"/>
  <c r="Y20" i="11" s="1"/>
  <c r="X19" i="11"/>
  <c r="Y19" i="11" s="1"/>
  <c r="C30" i="11"/>
  <c r="F27" i="11"/>
  <c r="F26" i="11"/>
  <c r="C31" i="11"/>
  <c r="X37" i="11" l="1"/>
  <c r="Y37" i="11" s="1"/>
  <c r="X38" i="11"/>
  <c r="Y38" i="11" s="1"/>
  <c r="X40" i="11"/>
  <c r="Y40" i="11" s="1"/>
  <c r="X26" i="11"/>
  <c r="Y26" i="11" s="1"/>
  <c r="X46" i="11"/>
  <c r="Y46" i="11" s="1"/>
  <c r="X28" i="11"/>
  <c r="Y28" i="11" s="1"/>
  <c r="X23" i="11"/>
  <c r="Y23" i="11" s="1"/>
  <c r="X25" i="11"/>
  <c r="Y25" i="11" s="1"/>
  <c r="X39" i="11"/>
  <c r="Y39" i="11" s="1"/>
  <c r="X24" i="11"/>
  <c r="Y24" i="11" s="1"/>
  <c r="X30" i="11"/>
  <c r="Y30" i="11" s="1"/>
  <c r="X32" i="11"/>
  <c r="Y32" i="11" s="1"/>
  <c r="X48" i="11"/>
  <c r="Y48" i="11" s="1"/>
  <c r="X51" i="11"/>
  <c r="Y51" i="11" s="1"/>
  <c r="X41" i="11"/>
  <c r="Y41" i="11" s="1"/>
  <c r="X31" i="11"/>
  <c r="Y31" i="11" s="1"/>
  <c r="X27" i="11"/>
  <c r="Y27" i="11" s="1"/>
  <c r="X35" i="11"/>
  <c r="Y35" i="11" s="1"/>
  <c r="X44" i="11"/>
  <c r="Y44" i="11" s="1"/>
  <c r="X42" i="11"/>
  <c r="Y42" i="11" s="1"/>
  <c r="X49" i="11"/>
  <c r="Y49" i="11" s="1"/>
  <c r="X34" i="11"/>
  <c r="Y34" i="11" s="1"/>
  <c r="X50" i="11"/>
  <c r="Y50" i="11" s="1"/>
  <c r="X45" i="11"/>
  <c r="Y45" i="11" s="1"/>
  <c r="X47" i="11"/>
  <c r="Y47" i="11" s="1"/>
  <c r="X43" i="11"/>
  <c r="Y43" i="11" s="1"/>
  <c r="X52" i="11"/>
  <c r="Y52" i="11" s="1"/>
  <c r="X36" i="11"/>
  <c r="Y36" i="11" s="1"/>
  <c r="X33" i="11"/>
  <c r="Y33" i="11" s="1"/>
  <c r="X29" i="11"/>
  <c r="Y29" i="11" s="1"/>
  <c r="Y55" i="11" l="1"/>
  <c r="B12" i="11"/>
  <c r="F11" i="11"/>
  <c r="L10" i="11"/>
  <c r="F10" i="11"/>
  <c r="F9" i="11"/>
  <c r="J8" i="11"/>
  <c r="F8" i="11"/>
  <c r="X7" i="11"/>
  <c r="X6" i="11"/>
  <c r="X5" i="11"/>
  <c r="X4" i="11"/>
  <c r="X3" i="11"/>
  <c r="X2" i="11"/>
  <c r="X1" i="11"/>
  <c r="G1" i="11" s="1"/>
  <c r="E56" i="11" l="1"/>
  <c r="AC21" i="11"/>
  <c r="AC22" i="11" s="1"/>
  <c r="W55" i="11"/>
  <c r="AC19" i="11"/>
  <c r="J10" i="11"/>
  <c r="E55" i="11" l="1"/>
  <c r="AA18" i="11"/>
  <c r="AA19" i="11" s="1"/>
  <c r="AA22" i="11" s="1"/>
  <c r="A300" i="7"/>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 r="E54" i="11"/>
  <c r="E53" i="11"/>
  <c r="C36" i="11" l="1"/>
  <c r="C35" i="11"/>
  <c r="C34" i="11"/>
  <c r="K57" i="11" l="1"/>
  <c r="J57" i="11"/>
</calcChain>
</file>

<file path=xl/sharedStrings.xml><?xml version="1.0" encoding="utf-8"?>
<sst xmlns="http://schemas.openxmlformats.org/spreadsheetml/2006/main" count="120" uniqueCount="89">
  <si>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</si>
  <si>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</si>
  <si>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</si>
  <si>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</si>
  <si>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</si>
  <si>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</si>
  <si>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</si>
  <si>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</si>
  <si>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</si>
  <si>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</si>
  <si>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</si>
  <si>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</si>
  <si>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</si>
  <si>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</si>
  <si>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</si>
  <si>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</si>
  <si>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</si>
  <si>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</si>
  <si>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</si>
  <si>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</si>
  <si>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</si>
  <si>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b =</t>
  </si>
  <si>
    <t>C =</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</si>
  <si>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</si>
  <si>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</si>
  <si>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</si>
  <si>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</si>
  <si>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</si>
  <si>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</si>
  <si>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</si>
  <si>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</si>
  <si>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</si>
  <si>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</si>
  <si>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</si>
  <si>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</si>
  <si>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</si>
  <si>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</si>
  <si>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</si>
  <si>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</si>
  <si>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</si>
  <si>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</si>
  <si>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</si>
  <si>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</si>
  <si>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</si>
  <si>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</si>
  <si>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</si>
  <si>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</si>
  <si>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</si>
  <si>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</si>
  <si>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</si>
  <si>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</si>
  <si>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</si>
  <si>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</si>
  <si>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P =</t>
  </si>
  <si>
    <t>τ</t>
  </si>
  <si>
    <t>α =</t>
  </si>
  <si>
    <t>Gc =</t>
  </si>
  <si>
    <t>c =</t>
  </si>
  <si>
    <t>in, core thickness</t>
  </si>
  <si>
    <t>psi, shear modulus of the core</t>
  </si>
  <si>
    <t>Es =</t>
  </si>
  <si>
    <t>vs =</t>
  </si>
  <si>
    <t>facing sheet poissons ratio</t>
  </si>
  <si>
    <t>in, face sheet thickness, t₁ = t₂</t>
  </si>
  <si>
    <t>r</t>
  </si>
  <si>
    <t>K</t>
  </si>
  <si>
    <t>β =</t>
  </si>
  <si>
    <t>in, potting radius</t>
  </si>
  <si>
    <t>psi, facing sheet young's modulus</t>
  </si>
  <si>
    <t>Critical Core Shear Stress =</t>
  </si>
  <si>
    <t>psi</t>
  </si>
  <si>
    <t>f =</t>
  </si>
  <si>
    <t>τcrit =</t>
  </si>
  <si>
    <t>psi, core shear strength</t>
  </si>
  <si>
    <t>Pcrit =</t>
  </si>
  <si>
    <t>Kmax =</t>
  </si>
  <si>
    <t>rmax =</t>
  </si>
  <si>
    <t>AA-SM-140-001</t>
  </si>
  <si>
    <t>TENSION/COMPRESSION STRENGTH OF A POTTED INSERT</t>
  </si>
  <si>
    <t>(ESA-PSS-03-1202 INSERT DESIGN HANDBOOK)</t>
  </si>
  <si>
    <t>(ECSS-E-HB-32-22A INSERT DESIGN HANDBOOK)</t>
  </si>
  <si>
    <t>(Fully Potted Insert)</t>
  </si>
  <si>
    <t>www.xl-viking.com</t>
  </si>
  <si>
    <t>http://www.abbottaerospace.com/subscribe</t>
  </si>
  <si>
    <t>http://www.xl-viking.com/download-free-trial/</t>
  </si>
  <si>
    <t>http://www.abbottaerospace.com/engineering-services</t>
  </si>
  <si>
    <t>B</t>
  </si>
  <si>
    <t>(Abbott, Richard. Analysis and Design of Composite and Metallic Flight Vehicle Structures 1st Edition, 2016)</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</si>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</sst>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quot; psi&quot;"/>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100">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5"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0" fontId="5" fillId="0" borderId="0" xfId="0" quotePrefix="1" applyFont="1" applyBorder="1" applyProtection="1">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0" fontId="6" fillId="0" borderId="0" xfId="0" applyFont="1"/>
    <xf numFmtId="0" fontId="5" fillId="0" borderId="0" xfId="0" applyFont="1" applyAlignment="1">
      <alignment horizontal="right"/>
    </xf>
    <xf numFmtId="2" fontId="5" fillId="0" borderId="0" xfId="0" applyNumberFormat="1" applyFont="1" applyAlignment="1">
      <alignment horizontal="center"/>
    </xf>
    <xf numFmtId="164" fontId="5" fillId="0" borderId="0" xfId="0" applyNumberFormat="1" applyFont="1" applyAlignment="1">
      <alignment horizontal="center"/>
    </xf>
    <xf numFmtId="1" fontId="5" fillId="0" borderId="0" xfId="0" applyNumberFormat="1"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1" fontId="5" fillId="0" borderId="0" xfId="0" applyNumberFormat="1" applyFont="1" applyFill="1" applyAlignment="1" applyProtection="1">
      <alignment horizontal="left" vertical="center"/>
      <protection locked="0"/>
    </xf>
    <xf numFmtId="164" fontId="5" fillId="0" borderId="0" xfId="0" applyNumberFormat="1" applyFont="1" applyAlignment="1" applyProtection="1">
      <alignment horizontal="left" vertical="center"/>
      <protection locked="0"/>
    </xf>
    <xf numFmtId="0" fontId="14" fillId="0" borderId="0" xfId="0" applyFont="1" applyAlignment="1" applyProtection="1">
      <alignment horizontal="right" vertical="center"/>
      <protection locked="0"/>
    </xf>
    <xf numFmtId="0" fontId="14" fillId="0" borderId="0" xfId="0" applyFont="1"/>
    <xf numFmtId="165" fontId="5" fillId="0" borderId="0" xfId="0" applyNumberFormat="1" applyFont="1"/>
    <xf numFmtId="0" fontId="5"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64" fontId="5" fillId="0" borderId="0" xfId="0" applyNumberFormat="1" applyFont="1" applyAlignment="1">
      <alignment horizontal="left"/>
    </xf>
    <xf numFmtId="166" fontId="5" fillId="0" borderId="0" xfId="0" applyNumberFormat="1" applyFont="1"/>
    <xf numFmtId="2" fontId="6" fillId="0" borderId="0" xfId="0" applyNumberFormat="1" applyFont="1" applyAlignment="1">
      <alignment horizontal="center"/>
    </xf>
    <xf numFmtId="165" fontId="5" fillId="0" borderId="0" xfId="0" applyNumberFormat="1" applyFont="1" applyAlignment="1">
      <alignment horizontal="left"/>
    </xf>
    <xf numFmtId="2" fontId="5" fillId="0" borderId="0" xfId="0" applyNumberFormat="1" applyFont="1" applyAlignment="1">
      <alignment horizontal="left"/>
    </xf>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1392881445376"/>
          <c:y val="6.3492063492063489E-2"/>
          <c:w val="0.8277269045073069"/>
          <c:h val="0.74370385519991822"/>
        </c:manualLayout>
      </c:layout>
      <c:scatterChart>
        <c:scatterStyle val="lineMarker"/>
        <c:varyColors val="0"/>
        <c:ser>
          <c:idx val="0"/>
          <c:order val="0"/>
          <c:spPr>
            <a:ln w="19050" cap="rnd">
              <a:solidFill>
                <a:schemeClr val="tx1"/>
              </a:solidFill>
              <a:round/>
            </a:ln>
            <a:effectLst/>
          </c:spPr>
          <c:marker>
            <c:symbol val="none"/>
          </c:marker>
          <c:xVal>
            <c:numRef>
              <c:f>'Main - US'!$W$17:$W$53</c:f>
              <c:numCache>
                <c:formatCode>General</c:formatCode>
                <c:ptCount val="37"/>
                <c:pt idx="1">
                  <c:v>0.36</c:v>
                </c:pt>
                <c:pt idx="2">
                  <c:v>0.38500000000000001</c:v>
                </c:pt>
                <c:pt idx="3">
                  <c:v>0.41000000000000003</c:v>
                </c:pt>
                <c:pt idx="4">
                  <c:v>0.43500000000000005</c:v>
                </c:pt>
                <c:pt idx="5">
                  <c:v>0.46000000000000008</c:v>
                </c:pt>
                <c:pt idx="6">
                  <c:v>0.4850000000000001</c:v>
                </c:pt>
                <c:pt idx="7">
                  <c:v>0.51000000000000012</c:v>
                </c:pt>
                <c:pt idx="8">
                  <c:v>0.53500000000000014</c:v>
                </c:pt>
                <c:pt idx="9">
                  <c:v>0.56000000000000016</c:v>
                </c:pt>
                <c:pt idx="10">
                  <c:v>0.58500000000000019</c:v>
                </c:pt>
                <c:pt idx="11">
                  <c:v>0.61000000000000021</c:v>
                </c:pt>
                <c:pt idx="12">
                  <c:v>0.63500000000000023</c:v>
                </c:pt>
                <c:pt idx="13">
                  <c:v>0.66000000000000025</c:v>
                </c:pt>
                <c:pt idx="14">
                  <c:v>0.68500000000000028</c:v>
                </c:pt>
                <c:pt idx="15">
                  <c:v>0.7100000000000003</c:v>
                </c:pt>
                <c:pt idx="16">
                  <c:v>0.73500000000000032</c:v>
                </c:pt>
                <c:pt idx="17">
                  <c:v>0.76000000000000034</c:v>
                </c:pt>
                <c:pt idx="18">
                  <c:v>0.78500000000000036</c:v>
                </c:pt>
                <c:pt idx="19">
                  <c:v>0.81000000000000039</c:v>
                </c:pt>
                <c:pt idx="20">
                  <c:v>0.83500000000000041</c:v>
                </c:pt>
                <c:pt idx="21">
                  <c:v>0.86000000000000043</c:v>
                </c:pt>
                <c:pt idx="22">
                  <c:v>0.88500000000000045</c:v>
                </c:pt>
                <c:pt idx="23">
                  <c:v>0.91000000000000048</c:v>
                </c:pt>
                <c:pt idx="24">
                  <c:v>0.9350000000000005</c:v>
                </c:pt>
                <c:pt idx="25">
                  <c:v>0.96000000000000052</c:v>
                </c:pt>
                <c:pt idx="26">
                  <c:v>0.98500000000000054</c:v>
                </c:pt>
                <c:pt idx="27">
                  <c:v>1.0100000000000005</c:v>
                </c:pt>
                <c:pt idx="28">
                  <c:v>1.0350000000000004</c:v>
                </c:pt>
                <c:pt idx="29">
                  <c:v>1.0600000000000003</c:v>
                </c:pt>
                <c:pt idx="30">
                  <c:v>1.0850000000000002</c:v>
                </c:pt>
                <c:pt idx="31">
                  <c:v>1.1100000000000001</c:v>
                </c:pt>
                <c:pt idx="32">
                  <c:v>1.135</c:v>
                </c:pt>
                <c:pt idx="33">
                  <c:v>1.1599999999999999</c:v>
                </c:pt>
                <c:pt idx="34">
                  <c:v>1.1849999999999998</c:v>
                </c:pt>
                <c:pt idx="35">
                  <c:v>1.2099999999999997</c:v>
                </c:pt>
                <c:pt idx="36">
                  <c:v>1.2349999999999997</c:v>
                </c:pt>
              </c:numCache>
            </c:numRef>
          </c:xVal>
          <c:yVal>
            <c:numRef>
              <c:f>'Main - US'!$Y$17:$Y$53</c:f>
              <c:numCache>
                <c:formatCode>0.0</c:formatCode>
                <c:ptCount val="37"/>
                <c:pt idx="1">
                  <c:v>0</c:v>
                </c:pt>
                <c:pt idx="2">
                  <c:v>157.81819879174523</c:v>
                </c:pt>
                <c:pt idx="3">
                  <c:v>255.66147803724814</c:v>
                </c:pt>
                <c:pt idx="4">
                  <c:v>314.21584641872812</c:v>
                </c:pt>
                <c:pt idx="5">
                  <c:v>347.10769151332892</c:v>
                </c:pt>
                <c:pt idx="6">
                  <c:v>363.33234484689444</c:v>
                </c:pt>
                <c:pt idx="7">
                  <c:v>368.83397766670043</c:v>
                </c:pt>
                <c:pt idx="8">
                  <c:v>367.53970054361167</c:v>
                </c:pt>
                <c:pt idx="9">
                  <c:v>362.03982450275947</c:v>
                </c:pt>
                <c:pt idx="10">
                  <c:v>354.03719845305216</c:v>
                </c:pt>
                <c:pt idx="11">
                  <c:v>344.6450017623892</c:v>
                </c:pt>
                <c:pt idx="12">
                  <c:v>334.58462235482926</c:v>
                </c:pt>
                <c:pt idx="13">
                  <c:v>324.31740478067212</c:v>
                </c:pt>
                <c:pt idx="14">
                  <c:v>314.132487938731</c:v>
                </c:pt>
                <c:pt idx="15">
                  <c:v>304.20540930690385</c:v>
                </c:pt>
                <c:pt idx="16">
                  <c:v>294.63720581087057</c:v>
                </c:pt>
                <c:pt idx="17">
                  <c:v>285.48048200102971</c:v>
                </c:pt>
                <c:pt idx="18">
                  <c:v>276.75675981652262</c:v>
                </c:pt>
                <c:pt idx="19">
                  <c:v>268.46799263326591</c:v>
                </c:pt>
                <c:pt idx="20">
                  <c:v>260.6041730650428</c:v>
                </c:pt>
                <c:pt idx="21">
                  <c:v>253.148327661265</c:v>
                </c:pt>
                <c:pt idx="22">
                  <c:v>246.07976595595002</c:v>
                </c:pt>
                <c:pt idx="23">
                  <c:v>239.3761660382383</c:v>
                </c:pt>
                <c:pt idx="24">
                  <c:v>233.01488735219812</c:v>
                </c:pt>
                <c:pt idx="25">
                  <c:v>226.97377279774796</c:v>
                </c:pt>
                <c:pt idx="26">
                  <c:v>221.23161571547411</c:v>
                </c:pt>
                <c:pt idx="27">
                  <c:v>215.76840916526925</c:v>
                </c:pt>
                <c:pt idx="28">
                  <c:v>210.56545578284226</c:v>
                </c:pt>
                <c:pt idx="29">
                  <c:v>205.60539019589558</c:v>
                </c:pt>
                <c:pt idx="30">
                  <c:v>200.8721483184099</c:v>
                </c:pt>
                <c:pt idx="31">
                  <c:v>196.35090599953969</c:v>
                </c:pt>
                <c:pt idx="32">
                  <c:v>192.02800158423733</c:v>
                </c:pt>
                <c:pt idx="33">
                  <c:v>187.89085166515821</c:v>
                </c:pt>
                <c:pt idx="34">
                  <c:v>183.92786580540408</c:v>
                </c:pt>
                <c:pt idx="35">
                  <c:v>180.12836370592112</c:v>
                </c:pt>
                <c:pt idx="36">
                  <c:v>176.48249678621031</c:v>
                </c:pt>
              </c:numCache>
            </c:numRef>
          </c:yVal>
          <c:smooth val="0"/>
          <c:extLst>
            <c:ext xmlns:c16="http://schemas.microsoft.com/office/drawing/2014/chart" uri="{C3380CC4-5D6E-409C-BE32-E72D297353CC}">
              <c16:uniqueId val="{00000000-7B80-4FD4-BF9E-C78BA4C10B20}"/>
            </c:ext>
          </c:extLst>
        </c:ser>
        <c:ser>
          <c:idx val="1"/>
          <c:order val="1"/>
          <c:spPr>
            <a:ln w="19050" cap="rnd">
              <a:solidFill>
                <a:schemeClr val="accent2"/>
              </a:solidFill>
              <a:round/>
            </a:ln>
            <a:effectLst/>
          </c:spPr>
          <c:marker>
            <c:symbol val="circle"/>
            <c:size val="5"/>
            <c:spPr>
              <a:solidFill>
                <a:schemeClr val="tx1"/>
              </a:solidFill>
              <a:ln w="9525">
                <a:solidFill>
                  <a:schemeClr val="tx1"/>
                </a:solidFill>
              </a:ln>
              <a:effectLst/>
            </c:spPr>
          </c:marker>
          <c:dLbls>
            <c:dLbl>
              <c:idx val="0"/>
              <c:layout>
                <c:manualLayout>
                  <c:x val="3.9976484420928868E-2"/>
                  <c:y val="-0.106246719160104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80-4FD4-BF9E-C78BA4C10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'Main - US'!$W$55</c:f>
              <c:numCache>
                <c:formatCode>0.000</c:formatCode>
                <c:ptCount val="1"/>
                <c:pt idx="0">
                  <c:v>0.51000000000000012</c:v>
                </c:pt>
              </c:numCache>
            </c:numRef>
          </c:xVal>
          <c:yVal>
            <c:numRef>
              <c:f>'Main - US'!$Y$55</c:f>
              <c:numCache>
                <c:formatCode>0.0" psi"</c:formatCode>
                <c:ptCount val="1"/>
                <c:pt idx="0">
                  <c:v>368.83397766670043</c:v>
                </c:pt>
              </c:numCache>
            </c:numRef>
          </c:yVal>
          <c:smooth val="0"/>
          <c:extLst>
            <c:ext xmlns:c16="http://schemas.microsoft.com/office/drawing/2014/chart" uri="{C3380CC4-5D6E-409C-BE32-E72D297353CC}">
              <c16:uniqueId val="{00000002-7B80-4FD4-BF9E-C78BA4C10B20}"/>
            </c:ext>
          </c:extLst>
        </c:ser>
        <c:ser>
          <c:idx val="2"/>
          <c:order val="2"/>
          <c:spPr>
            <a:ln w="9525" cap="rnd">
              <a:solidFill>
                <a:schemeClr val="tx1"/>
              </a:solidFill>
              <a:prstDash val="lgDash"/>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7B80-4FD4-BF9E-C78BA4C10B20}"/>
                </c:ext>
              </c:extLst>
            </c:dLbl>
            <c:dLbl>
              <c:idx val="3"/>
              <c:delete val="1"/>
              <c:extLst>
                <c:ext xmlns:c15="http://schemas.microsoft.com/office/drawing/2012/chart" uri="{CE6537A1-D6FC-4f65-9D91-7224C49458BB}"/>
                <c:ext xmlns:c16="http://schemas.microsoft.com/office/drawing/2014/chart" uri="{C3380CC4-5D6E-409C-BE32-E72D297353CC}">
                  <c16:uniqueId val="{00000004-7B80-4FD4-BF9E-C78BA4C10B20}"/>
                </c:ext>
              </c:extLst>
            </c:dLbl>
            <c:dLbl>
              <c:idx val="4"/>
              <c:delete val="1"/>
              <c:extLst>
                <c:ext xmlns:c15="http://schemas.microsoft.com/office/drawing/2012/chart" uri="{CE6537A1-D6FC-4f65-9D91-7224C49458BB}"/>
                <c:ext xmlns:c16="http://schemas.microsoft.com/office/drawing/2014/chart" uri="{C3380CC4-5D6E-409C-BE32-E72D297353CC}">
                  <c16:uniqueId val="{00000005-7B80-4FD4-BF9E-C78BA4C10B20}"/>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'Main - US'!$AA$18:$AA$22</c:f>
              <c:numCache>
                <c:formatCode>0.00</c:formatCode>
                <c:ptCount val="5"/>
                <c:pt idx="0">
                  <c:v>0.51000000000000012</c:v>
                </c:pt>
                <c:pt idx="1">
                  <c:v>0.51000000000000012</c:v>
                </c:pt>
                <c:pt idx="3">
                  <c:v>0</c:v>
                </c:pt>
                <c:pt idx="4">
                  <c:v>0.56100000000000017</c:v>
                </c:pt>
              </c:numCache>
            </c:numRef>
          </c:xVal>
          <c:yVal>
            <c:numRef>
              <c:f>'Main - US'!$AC$18:$AC$22</c:f>
              <c:numCache>
                <c:formatCode>0.00</c:formatCode>
                <c:ptCount val="5"/>
                <c:pt idx="0">
                  <c:v>0</c:v>
                </c:pt>
                <c:pt idx="1">
                  <c:v>405.71737543337053</c:v>
                </c:pt>
                <c:pt idx="3">
                  <c:v>368.83397766670043</c:v>
                </c:pt>
                <c:pt idx="4">
                  <c:v>368.83397766670043</c:v>
                </c:pt>
              </c:numCache>
            </c:numRef>
          </c:yVal>
          <c:smooth val="0"/>
          <c:extLst>
            <c:ext xmlns:c16="http://schemas.microsoft.com/office/drawing/2014/chart" uri="{C3380CC4-5D6E-409C-BE32-E72D297353CC}">
              <c16:uniqueId val="{00000006-7B80-4FD4-BF9E-C78BA4C10B20}"/>
            </c:ext>
          </c:extLst>
        </c:ser>
        <c:dLbls>
          <c:showLegendKey val="0"/>
          <c:showVal val="0"/>
          <c:showCatName val="0"/>
          <c:showSerName val="0"/>
          <c:showPercent val="0"/>
          <c:showBubbleSize val="0"/>
        </c:dLbls>
        <c:axId val="633743408"/>
        <c:axId val="633747328"/>
      </c:scatterChart>
      <c:valAx>
        <c:axId val="633743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Distance from the insert axis (in)</a:t>
                </a:r>
              </a:p>
            </c:rich>
          </c:tx>
          <c:layout>
            <c:manualLayout>
              <c:xMode val="edge"/>
              <c:yMode val="edge"/>
              <c:x val="0.37069866266716661"/>
              <c:y val="0.9006924134483189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747328"/>
        <c:crosses val="autoZero"/>
        <c:crossBetween val="midCat"/>
      </c:valAx>
      <c:valAx>
        <c:axId val="63374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Core Shear Stress (psi)</a:t>
                </a:r>
              </a:p>
            </c:rich>
          </c:tx>
          <c:layout>
            <c:manualLayout>
              <c:xMode val="edge"/>
              <c:yMode val="edge"/>
              <c:x val="7.0546737213403876E-3"/>
              <c:y val="0.124550340298371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7434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175259</xdr:colOff>
      <xdr:row>17</xdr:row>
      <xdr:rowOff>60960</xdr:rowOff>
    </xdr:from>
    <xdr:to>
      <xdr:col>5</xdr:col>
      <xdr:colOff>526572</xdr:colOff>
      <xdr:row>24</xdr:row>
      <xdr:rowOff>80074</xdr:rowOff>
    </xdr:to>
    <xdr:pic>
      <xdr:nvPicPr>
        <xdr:cNvPr id="531" name="Picture 53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79" y="3063240"/>
          <a:ext cx="2820193" cy="1245934"/>
        </a:xfrm>
        <a:prstGeom prst="rect">
          <a:avLst/>
        </a:prstGeom>
        <a:noFill/>
        <a:ln>
          <a:noFill/>
        </a:ln>
      </xdr:spPr>
    </xdr:pic>
    <xdr:clientData/>
  </xdr:twoCellAnchor>
  <xdr:twoCellAnchor>
    <xdr:from>
      <xdr:col>1</xdr:col>
      <xdr:colOff>1</xdr:colOff>
      <xdr:row>37</xdr:row>
      <xdr:rowOff>0</xdr:rowOff>
    </xdr:from>
    <xdr:to>
      <xdr:col>10</xdr:col>
      <xdr:colOff>9526</xdr:colOff>
      <xdr:row>51</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494733" cy="630195"/>
          <a:chOff x="40822" y="1267641"/>
          <a:chExt cx="2570933" cy="630195"/>
        </a:xfrm>
      </xdr:grpSpPr>
      <xdr:pic>
        <xdr:nvPicPr>
          <xdr:cNvPr id="7" name="Picture 6">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nalysis-and-design-of-composite-and-metallic-flight-vehicle-structures"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A2" sqref="A2"/>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72" customWidth="1"/>
    <col min="18" max="19" width="5.33203125" style="73" customWidth="1"/>
    <col min="20" max="25" width="9.109375" style="75"/>
    <col min="26" max="16384" width="9.109375" style="53"/>
  </cols>
  <sheetData>
    <row r="1" spans="1:25" s="38" customFormat="1" ht="13.8" x14ac:dyDescent="0.3">
      <c r="A1" s="34"/>
      <c r="B1" s="35" t="s">
        <v>3</v>
      </c>
      <c r="C1" s="36" t="s">
        <v>2</v>
      </c>
      <c r="D1" s="34"/>
      <c r="E1" s="34"/>
      <c r="F1" s="35" t="s">
        <v>23</v>
      </c>
      <c r="G1" s="37"/>
      <c r="H1" s="34"/>
      <c r="I1" s="34"/>
      <c r="J1" s="34"/>
      <c r="K1" s="34"/>
      <c r="M1" s="68"/>
      <c r="N1" s="68"/>
      <c r="O1" s="68"/>
      <c r="P1" s="68"/>
      <c r="Q1" s="68"/>
      <c r="R1" s="68"/>
      <c r="S1" s="68"/>
      <c r="T1" s="69"/>
      <c r="U1" s="69"/>
      <c r="V1" s="69"/>
      <c r="W1" s="70"/>
      <c r="X1" s="71"/>
      <c r="Y1" s="69"/>
    </row>
    <row r="2" spans="1:25" s="38" customFormat="1" ht="13.8" x14ac:dyDescent="0.3">
      <c r="A2" s="34"/>
      <c r="B2" s="35" t="s">
        <v>4</v>
      </c>
      <c r="C2" s="36" t="s">
        <v>5</v>
      </c>
      <c r="D2" s="34"/>
      <c r="E2" s="34"/>
      <c r="F2" s="35" t="s">
        <v>6</v>
      </c>
      <c r="G2" s="36"/>
      <c r="H2" s="34"/>
      <c r="I2" s="34"/>
      <c r="J2" s="34"/>
      <c r="K2" s="34"/>
      <c r="M2" s="68"/>
      <c r="N2" s="68"/>
      <c r="O2" s="68"/>
      <c r="P2" s="68"/>
      <c r="Q2" s="68"/>
      <c r="R2" s="68"/>
      <c r="S2" s="68"/>
      <c r="T2" s="69"/>
      <c r="U2" s="69"/>
      <c r="V2" s="69"/>
      <c r="W2" s="70"/>
      <c r="X2" s="71"/>
      <c r="Y2" s="69"/>
    </row>
    <row r="3" spans="1:25" s="38" customFormat="1" ht="13.8" x14ac:dyDescent="0.3">
      <c r="A3" s="34"/>
      <c r="B3" s="35" t="s">
        <v>1</v>
      </c>
      <c r="C3" s="43"/>
      <c r="D3" s="34"/>
      <c r="E3" s="34"/>
      <c r="F3" s="35" t="s">
        <v>0</v>
      </c>
      <c r="G3" s="36"/>
      <c r="H3" s="34"/>
      <c r="I3" s="34"/>
      <c r="J3" s="34"/>
      <c r="K3" s="34"/>
      <c r="M3" s="68"/>
      <c r="N3" s="68"/>
      <c r="O3" s="68"/>
      <c r="P3" s="68"/>
      <c r="Q3" s="68"/>
      <c r="R3" s="68"/>
      <c r="S3" s="68"/>
      <c r="T3" s="69"/>
      <c r="U3" s="69"/>
      <c r="V3" s="69"/>
      <c r="W3" s="70"/>
      <c r="X3" s="71"/>
      <c r="Y3" s="69"/>
    </row>
    <row r="4" spans="1:25" s="38" customFormat="1" ht="13.8" x14ac:dyDescent="0.3">
      <c r="A4" s="34"/>
      <c r="B4" s="35" t="s">
        <v>29</v>
      </c>
      <c r="C4" s="37"/>
      <c r="D4" s="34"/>
      <c r="E4" s="34"/>
      <c r="F4" s="35" t="s">
        <v>30</v>
      </c>
      <c r="G4" s="36" t="s">
        <v>31</v>
      </c>
      <c r="H4" s="34"/>
      <c r="I4" s="34"/>
      <c r="J4" s="34"/>
      <c r="K4" s="34"/>
      <c r="M4" s="68"/>
      <c r="N4" s="68"/>
      <c r="O4" s="68"/>
      <c r="P4" s="68"/>
      <c r="Q4" s="72"/>
      <c r="R4" s="73"/>
      <c r="S4" s="73"/>
      <c r="T4" s="69"/>
      <c r="U4" s="69"/>
      <c r="V4" s="69"/>
      <c r="W4" s="70"/>
      <c r="X4" s="71"/>
      <c r="Y4" s="69"/>
    </row>
    <row r="5" spans="1:25" s="38" customFormat="1" ht="13.8" x14ac:dyDescent="0.3">
      <c r="A5" s="34"/>
      <c r="B5" s="35" t="s">
        <v>32</v>
      </c>
      <c r="C5" s="37"/>
      <c r="D5" s="34"/>
      <c r="E5" s="35"/>
      <c r="F5" s="34"/>
      <c r="G5" s="34"/>
      <c r="H5" s="34"/>
      <c r="I5" s="34"/>
      <c r="J5" s="34"/>
      <c r="K5" s="34"/>
      <c r="M5" s="68"/>
      <c r="N5" s="68"/>
      <c r="O5" s="68"/>
      <c r="P5" s="68"/>
      <c r="Q5" s="72"/>
      <c r="R5" s="73"/>
      <c r="S5" s="73"/>
      <c r="T5" s="69"/>
      <c r="U5" s="69"/>
      <c r="V5" s="69"/>
      <c r="W5" s="70"/>
      <c r="X5" s="71"/>
      <c r="Y5" s="69"/>
    </row>
    <row r="6" spans="1:25" s="38" customFormat="1" ht="13.8" x14ac:dyDescent="0.3">
      <c r="A6" s="34"/>
      <c r="B6" s="34" t="s">
        <v>7</v>
      </c>
      <c r="C6" s="46"/>
      <c r="D6" s="34"/>
      <c r="E6" s="34"/>
      <c r="F6" s="34"/>
      <c r="G6" s="34"/>
      <c r="H6" s="34"/>
      <c r="I6" s="34"/>
      <c r="J6" s="34"/>
      <c r="K6" s="34"/>
      <c r="M6" s="68"/>
      <c r="N6" s="68"/>
      <c r="O6" s="68"/>
      <c r="P6" s="68"/>
      <c r="Q6" s="72"/>
      <c r="R6" s="73"/>
      <c r="S6" s="73"/>
      <c r="T6" s="69"/>
      <c r="U6" s="69"/>
      <c r="V6" s="69"/>
      <c r="W6" s="70"/>
      <c r="X6" s="71"/>
      <c r="Y6" s="69"/>
    </row>
    <row r="7" spans="1:25" s="38" customFormat="1" ht="13.8" x14ac:dyDescent="0.3">
      <c r="A7" s="34"/>
      <c r="B7" s="34"/>
      <c r="C7" s="34"/>
      <c r="D7" s="34"/>
      <c r="E7" s="34"/>
      <c r="F7" s="34"/>
      <c r="G7" s="34"/>
      <c r="H7" s="34"/>
      <c r="I7" s="34"/>
      <c r="J7" s="34"/>
      <c r="K7" s="34"/>
      <c r="M7" s="68"/>
      <c r="N7" s="68"/>
      <c r="O7" s="68"/>
      <c r="P7" s="68"/>
      <c r="Q7" s="72"/>
      <c r="R7" s="73"/>
      <c r="S7" s="73"/>
      <c r="T7" s="69"/>
      <c r="U7" s="69"/>
      <c r="V7" s="69"/>
      <c r="W7" s="70"/>
      <c r="X7" s="71"/>
      <c r="Y7" s="69"/>
    </row>
    <row r="8" spans="1:25" s="38" customFormat="1" ht="13.8" x14ac:dyDescent="0.3">
      <c r="A8" s="47"/>
      <c r="E8" s="40"/>
      <c r="F8" s="41"/>
      <c r="H8" s="48"/>
      <c r="I8" s="40"/>
      <c r="J8" s="49"/>
      <c r="K8" s="50"/>
      <c r="L8" s="51"/>
      <c r="M8" s="68"/>
      <c r="N8" s="68"/>
      <c r="O8" s="68"/>
      <c r="P8" s="68"/>
      <c r="Q8" s="72"/>
      <c r="R8" s="73"/>
      <c r="S8" s="73"/>
      <c r="T8" s="69"/>
      <c r="U8" s="69"/>
      <c r="V8" s="69"/>
      <c r="W8" s="69"/>
      <c r="X8" s="69"/>
      <c r="Y8" s="69"/>
    </row>
    <row r="9" spans="1:25" s="38" customFormat="1" ht="13.8" x14ac:dyDescent="0.3">
      <c r="E9" s="40"/>
      <c r="F9" s="48"/>
      <c r="H9" s="48"/>
      <c r="I9" s="40"/>
      <c r="J9" s="50"/>
      <c r="K9" s="50"/>
      <c r="L9" s="51"/>
      <c r="M9" s="68"/>
      <c r="N9" s="68"/>
      <c r="O9" s="68"/>
      <c r="P9" s="68"/>
      <c r="Q9" s="72"/>
      <c r="R9" s="73"/>
      <c r="S9" s="73"/>
      <c r="T9" s="69"/>
      <c r="U9" s="69"/>
      <c r="V9" s="69"/>
      <c r="W9" s="69"/>
      <c r="X9" s="69"/>
      <c r="Y9" s="69"/>
    </row>
    <row r="10" spans="1:25" s="38" customFormat="1" ht="13.8" x14ac:dyDescent="0.3">
      <c r="E10" s="40"/>
      <c r="F10" s="48"/>
      <c r="H10" s="48"/>
      <c r="I10" s="40"/>
      <c r="J10" s="41"/>
      <c r="K10" s="48"/>
      <c r="L10" s="51"/>
      <c r="M10" s="68"/>
      <c r="N10" s="68"/>
      <c r="O10" s="68"/>
      <c r="P10" s="68"/>
      <c r="Q10" s="72"/>
      <c r="R10" s="73"/>
      <c r="S10" s="73"/>
      <c r="T10" s="69"/>
      <c r="U10" s="69"/>
      <c r="V10" s="69"/>
      <c r="W10" s="69"/>
      <c r="X10" s="69"/>
      <c r="Y10" s="69"/>
    </row>
    <row r="11" spans="1:25" s="38" customFormat="1" ht="13.8" x14ac:dyDescent="0.3">
      <c r="E11" s="40"/>
      <c r="F11" s="48"/>
      <c r="I11" s="52"/>
      <c r="J11" s="41"/>
      <c r="M11" s="68"/>
      <c r="N11" s="68"/>
      <c r="O11" s="68"/>
      <c r="P11" s="68"/>
      <c r="Q11" s="68"/>
      <c r="R11" s="68"/>
      <c r="S11" s="68"/>
      <c r="T11" s="69"/>
      <c r="U11" s="69"/>
      <c r="V11" s="69"/>
      <c r="W11" s="69"/>
      <c r="X11" s="69"/>
      <c r="Y11" s="69"/>
    </row>
    <row r="12" spans="1:25" x14ac:dyDescent="0.3">
      <c r="C12" s="54" t="str">
        <f>G4</f>
        <v>IMPORTANT INFORMATION</v>
      </c>
      <c r="M12" s="68"/>
      <c r="N12" s="68"/>
      <c r="O12" s="68"/>
      <c r="P12" s="68"/>
      <c r="Q12" s="74"/>
      <c r="R12" s="74"/>
      <c r="S12" s="74"/>
    </row>
    <row r="13" spans="1:25" s="38" customFormat="1" ht="13.8" x14ac:dyDescent="0.3">
      <c r="M13" s="68"/>
      <c r="N13" s="68"/>
      <c r="O13" s="68"/>
      <c r="P13" s="68"/>
      <c r="Q13" s="68"/>
      <c r="R13" s="68"/>
      <c r="S13" s="68"/>
      <c r="T13" s="69"/>
      <c r="U13" s="69"/>
      <c r="V13" s="69"/>
      <c r="W13" s="69"/>
      <c r="X13" s="69"/>
      <c r="Y13" s="69"/>
    </row>
    <row r="14" spans="1:25" s="38" customFormat="1" ht="13.8" x14ac:dyDescent="0.3">
      <c r="B14" s="55" t="s">
        <v>36</v>
      </c>
      <c r="M14" s="68"/>
      <c r="N14" s="68"/>
      <c r="O14" s="68"/>
      <c r="P14" s="68"/>
      <c r="Q14" s="68"/>
      <c r="R14" s="68"/>
      <c r="S14" s="68"/>
      <c r="T14" s="69"/>
      <c r="U14" s="69"/>
      <c r="V14" s="69"/>
      <c r="W14" s="69"/>
      <c r="X14" s="69"/>
      <c r="Y14" s="69"/>
    </row>
    <row r="15" spans="1:25" s="38" customFormat="1" ht="13.8" x14ac:dyDescent="0.3">
      <c r="A15" s="56"/>
      <c r="K15" s="56"/>
      <c r="M15" s="72"/>
      <c r="N15" s="72"/>
      <c r="O15" s="72"/>
      <c r="P15" s="72"/>
      <c r="Q15" s="72"/>
      <c r="R15" s="73"/>
      <c r="S15" s="73"/>
      <c r="T15" s="69"/>
      <c r="U15" s="69"/>
      <c r="V15" s="69"/>
      <c r="W15" s="69"/>
      <c r="X15" s="69"/>
      <c r="Y15" s="69"/>
    </row>
    <row r="16" spans="1:25" s="38" customFormat="1" ht="12.75" customHeight="1" x14ac:dyDescent="0.3">
      <c r="B16" s="95" t="s">
        <v>42</v>
      </c>
      <c r="C16" s="95"/>
      <c r="D16" s="95"/>
      <c r="E16" s="95"/>
      <c r="F16" s="95"/>
      <c r="G16" s="95"/>
      <c r="H16" s="95"/>
      <c r="I16" s="95"/>
      <c r="J16" s="95"/>
      <c r="M16" s="72"/>
      <c r="N16" s="72"/>
      <c r="O16" s="72"/>
      <c r="P16" s="72"/>
      <c r="Q16" s="72"/>
      <c r="R16" s="73"/>
      <c r="S16" s="73"/>
      <c r="T16" s="69"/>
      <c r="U16" s="69"/>
      <c r="V16" s="69"/>
      <c r="W16" s="69"/>
      <c r="X16" s="69"/>
      <c r="Y16" s="69"/>
    </row>
    <row r="17" spans="1:25" s="38" customFormat="1" ht="13.8" x14ac:dyDescent="0.3">
      <c r="B17" s="95"/>
      <c r="C17" s="95"/>
      <c r="D17" s="95"/>
      <c r="E17" s="95"/>
      <c r="F17" s="95"/>
      <c r="G17" s="95"/>
      <c r="H17" s="95"/>
      <c r="I17" s="95"/>
      <c r="J17" s="95"/>
      <c r="M17" s="72"/>
      <c r="N17" s="72"/>
      <c r="O17" s="72"/>
      <c r="P17" s="72"/>
      <c r="Q17" s="72"/>
      <c r="R17" s="73"/>
      <c r="S17" s="73"/>
      <c r="T17" s="69"/>
      <c r="U17" s="69"/>
      <c r="V17" s="69"/>
      <c r="W17" s="69"/>
      <c r="X17" s="69"/>
      <c r="Y17" s="69"/>
    </row>
    <row r="18" spans="1:25" s="38" customFormat="1" ht="13.8" x14ac:dyDescent="0.3">
      <c r="B18" s="95"/>
      <c r="C18" s="95"/>
      <c r="D18" s="95"/>
      <c r="E18" s="95"/>
      <c r="F18" s="95"/>
      <c r="G18" s="95"/>
      <c r="H18" s="95"/>
      <c r="I18" s="95"/>
      <c r="J18" s="95"/>
      <c r="M18" s="72"/>
      <c r="N18" s="72"/>
      <c r="O18" s="72"/>
      <c r="P18" s="72"/>
      <c r="Q18" s="72"/>
      <c r="R18" s="73"/>
      <c r="S18" s="73"/>
      <c r="T18" s="69"/>
      <c r="U18" s="69"/>
      <c r="V18" s="69"/>
      <c r="W18" s="69"/>
      <c r="X18" s="69"/>
      <c r="Y18" s="69"/>
    </row>
    <row r="19" spans="1:25" s="38" customFormat="1" ht="13.8" x14ac:dyDescent="0.3">
      <c r="B19" s="95"/>
      <c r="C19" s="95"/>
      <c r="D19" s="95"/>
      <c r="E19" s="95"/>
      <c r="F19" s="95"/>
      <c r="G19" s="95"/>
      <c r="H19" s="95"/>
      <c r="I19" s="95"/>
      <c r="J19" s="95"/>
      <c r="M19" s="72"/>
      <c r="N19" s="72"/>
      <c r="O19" s="72"/>
      <c r="P19" s="72"/>
      <c r="Q19" s="72"/>
      <c r="R19" s="73"/>
      <c r="S19" s="73"/>
      <c r="T19" s="69"/>
      <c r="U19" s="69"/>
      <c r="V19" s="69"/>
      <c r="W19" s="69"/>
      <c r="X19" s="69"/>
      <c r="Y19" s="69"/>
    </row>
    <row r="20" spans="1:25" s="38" customFormat="1" ht="12.75" customHeight="1" x14ac:dyDescent="0.3">
      <c r="A20" s="56"/>
      <c r="B20" s="57" t="s">
        <v>43</v>
      </c>
      <c r="C20" s="56"/>
      <c r="D20" s="56"/>
      <c r="E20" s="56"/>
      <c r="F20" s="56"/>
      <c r="G20" s="56"/>
      <c r="H20" s="56"/>
      <c r="I20" s="56"/>
      <c r="J20" s="56"/>
      <c r="K20" s="56"/>
      <c r="M20" s="72"/>
      <c r="N20" s="72"/>
      <c r="O20" s="72"/>
      <c r="P20" s="72"/>
      <c r="Q20" s="72"/>
      <c r="R20" s="73"/>
      <c r="S20" s="73"/>
      <c r="T20" s="69"/>
      <c r="U20" s="69"/>
      <c r="V20" s="69"/>
      <c r="W20" s="69"/>
      <c r="X20" s="69"/>
      <c r="Y20" s="69"/>
    </row>
    <row r="21" spans="1:25" s="38" customFormat="1" ht="13.8" x14ac:dyDescent="0.3">
      <c r="A21" s="56"/>
      <c r="B21" s="57"/>
      <c r="C21" s="56"/>
      <c r="D21" s="56"/>
      <c r="E21" s="56"/>
      <c r="F21" s="56"/>
      <c r="G21" s="56"/>
      <c r="H21" s="56"/>
      <c r="I21" s="56"/>
      <c r="J21" s="56"/>
      <c r="K21" s="56"/>
      <c r="M21" s="72"/>
      <c r="N21" s="72"/>
      <c r="O21" s="72"/>
      <c r="P21" s="72"/>
      <c r="Q21" s="72"/>
      <c r="R21" s="73"/>
      <c r="S21" s="73"/>
      <c r="T21" s="69"/>
      <c r="U21" s="69"/>
      <c r="V21" s="69"/>
      <c r="W21" s="69"/>
      <c r="X21" s="69"/>
      <c r="Y21" s="69"/>
    </row>
    <row r="22" spans="1:25" s="38" customFormat="1" ht="13.8" x14ac:dyDescent="0.3">
      <c r="A22" s="56"/>
      <c r="B22" s="95" t="s">
        <v>44</v>
      </c>
      <c r="C22" s="95"/>
      <c r="D22" s="95"/>
      <c r="E22" s="95"/>
      <c r="F22" s="95"/>
      <c r="G22" s="95"/>
      <c r="H22" s="95"/>
      <c r="I22" s="95"/>
      <c r="J22" s="95"/>
      <c r="K22" s="56"/>
      <c r="M22" s="72"/>
      <c r="N22" s="72"/>
      <c r="O22" s="72"/>
      <c r="P22" s="72"/>
      <c r="Q22" s="72"/>
      <c r="R22" s="73"/>
      <c r="S22" s="73"/>
      <c r="T22" s="69"/>
      <c r="U22" s="69"/>
      <c r="V22" s="69"/>
      <c r="W22" s="69"/>
      <c r="X22" s="69"/>
      <c r="Y22" s="69"/>
    </row>
    <row r="23" spans="1:25" s="38" customFormat="1" ht="13.8" x14ac:dyDescent="0.3">
      <c r="A23" s="56"/>
      <c r="B23" s="95"/>
      <c r="C23" s="95"/>
      <c r="D23" s="95"/>
      <c r="E23" s="95"/>
      <c r="F23" s="95"/>
      <c r="G23" s="95"/>
      <c r="H23" s="95"/>
      <c r="I23" s="95"/>
      <c r="J23" s="95"/>
      <c r="K23" s="56"/>
      <c r="M23" s="72"/>
      <c r="N23" s="72"/>
      <c r="O23" s="72"/>
      <c r="P23" s="72"/>
      <c r="Q23" s="72"/>
      <c r="R23" s="73"/>
      <c r="S23" s="76"/>
      <c r="T23" s="69"/>
      <c r="U23" s="69"/>
      <c r="V23" s="69"/>
      <c r="W23" s="69"/>
      <c r="X23" s="69"/>
      <c r="Y23" s="69"/>
    </row>
    <row r="24" spans="1:25" s="38" customFormat="1" ht="13.8" x14ac:dyDescent="0.3">
      <c r="A24" s="56"/>
      <c r="B24" s="95"/>
      <c r="C24" s="95"/>
      <c r="D24" s="95"/>
      <c r="E24" s="95"/>
      <c r="F24" s="95"/>
      <c r="G24" s="95"/>
      <c r="H24" s="95"/>
      <c r="I24" s="95"/>
      <c r="J24" s="95"/>
      <c r="K24" s="56"/>
      <c r="M24" s="72"/>
      <c r="N24" s="72"/>
      <c r="O24" s="72"/>
      <c r="P24" s="72"/>
      <c r="Q24" s="72"/>
      <c r="R24" s="73"/>
      <c r="S24" s="76"/>
      <c r="T24" s="69"/>
      <c r="U24" s="69"/>
      <c r="V24" s="69"/>
      <c r="W24" s="69"/>
      <c r="X24" s="69"/>
      <c r="Y24" s="69"/>
    </row>
    <row r="25" spans="1:25" s="38" customFormat="1" ht="12.75" customHeight="1" x14ac:dyDescent="0.3">
      <c r="A25" s="56"/>
      <c r="B25" s="90"/>
      <c r="C25" s="90"/>
      <c r="D25" s="90"/>
      <c r="E25" s="90"/>
      <c r="F25" s="91" t="s">
        <v>83</v>
      </c>
      <c r="G25" s="90"/>
      <c r="H25" s="90"/>
      <c r="I25" s="90"/>
      <c r="J25" s="90"/>
      <c r="K25" s="56"/>
      <c r="M25" s="72"/>
      <c r="N25" s="72"/>
      <c r="O25" s="72"/>
      <c r="P25" s="72"/>
      <c r="Q25" s="72"/>
      <c r="R25" s="73"/>
      <c r="S25" s="73"/>
      <c r="T25" s="69"/>
      <c r="U25" s="69"/>
      <c r="V25" s="69"/>
      <c r="W25" s="69"/>
      <c r="X25" s="69"/>
      <c r="Y25" s="69"/>
    </row>
    <row r="26" spans="1:25" s="38" customFormat="1" ht="13.8" x14ac:dyDescent="0.3">
      <c r="A26" s="56"/>
      <c r="B26" s="95" t="s">
        <v>45</v>
      </c>
      <c r="C26" s="95"/>
      <c r="D26" s="95"/>
      <c r="E26" s="95"/>
      <c r="F26" s="95"/>
      <c r="G26" s="95"/>
      <c r="H26" s="95"/>
      <c r="I26" s="95"/>
      <c r="J26" s="95"/>
      <c r="K26" s="56"/>
      <c r="M26" s="72"/>
      <c r="N26" s="72"/>
      <c r="O26" s="72"/>
      <c r="P26" s="72"/>
      <c r="Q26" s="72"/>
      <c r="R26" s="73"/>
      <c r="S26" s="73"/>
      <c r="T26" s="69"/>
      <c r="U26" s="69"/>
      <c r="V26" s="69"/>
      <c r="W26" s="69"/>
      <c r="X26" s="69"/>
      <c r="Y26" s="69"/>
    </row>
    <row r="27" spans="1:25" s="38" customFormat="1" ht="13.8" x14ac:dyDescent="0.3">
      <c r="A27" s="56"/>
      <c r="B27" s="95"/>
      <c r="C27" s="95"/>
      <c r="D27" s="95"/>
      <c r="E27" s="95"/>
      <c r="F27" s="95"/>
      <c r="G27" s="95"/>
      <c r="H27" s="95"/>
      <c r="I27" s="95"/>
      <c r="J27" s="95"/>
      <c r="K27" s="56"/>
      <c r="M27" s="72"/>
      <c r="N27" s="72"/>
      <c r="O27" s="72"/>
      <c r="P27" s="72"/>
      <c r="Q27" s="72"/>
      <c r="R27" s="73"/>
      <c r="S27" s="73"/>
      <c r="T27" s="69"/>
      <c r="U27" s="69"/>
      <c r="V27" s="69"/>
      <c r="W27" s="69"/>
      <c r="X27" s="69"/>
      <c r="Y27" s="69"/>
    </row>
    <row r="28" spans="1:25" s="38" customFormat="1" ht="13.8" x14ac:dyDescent="0.3">
      <c r="A28" s="56"/>
      <c r="B28" s="90"/>
      <c r="C28" s="90"/>
      <c r="D28" s="90"/>
      <c r="E28" s="90"/>
      <c r="F28" s="90"/>
      <c r="G28" s="90"/>
      <c r="H28" s="90"/>
      <c r="I28" s="90"/>
      <c r="J28" s="90"/>
      <c r="K28" s="56"/>
      <c r="M28" s="72"/>
      <c r="N28" s="72"/>
      <c r="O28" s="72"/>
      <c r="P28" s="72"/>
      <c r="Q28" s="72"/>
      <c r="R28" s="73"/>
      <c r="S28" s="73"/>
      <c r="T28" s="69"/>
      <c r="U28" s="69"/>
      <c r="V28" s="69"/>
      <c r="W28" s="69"/>
      <c r="X28" s="69"/>
      <c r="Y28" s="69"/>
    </row>
    <row r="29" spans="1:25" s="38" customFormat="1" ht="13.8" x14ac:dyDescent="0.3">
      <c r="A29" s="56"/>
      <c r="B29" s="95" t="s">
        <v>46</v>
      </c>
      <c r="C29" s="95"/>
      <c r="D29" s="95"/>
      <c r="E29" s="95"/>
      <c r="F29" s="95"/>
      <c r="G29" s="95"/>
      <c r="H29" s="95"/>
      <c r="I29" s="95"/>
      <c r="J29" s="95"/>
      <c r="K29" s="56"/>
      <c r="M29" s="72"/>
      <c r="N29" s="72"/>
      <c r="O29" s="72"/>
      <c r="P29" s="72"/>
      <c r="Q29" s="72"/>
      <c r="R29" s="73"/>
      <c r="S29" s="73"/>
      <c r="T29" s="69"/>
      <c r="U29" s="69"/>
      <c r="V29" s="69"/>
      <c r="W29" s="69"/>
      <c r="X29" s="69"/>
      <c r="Y29" s="69"/>
    </row>
    <row r="30" spans="1:25" s="38" customFormat="1" ht="13.8" x14ac:dyDescent="0.3">
      <c r="A30" s="56"/>
      <c r="B30" s="95"/>
      <c r="C30" s="95"/>
      <c r="D30" s="95"/>
      <c r="E30" s="95"/>
      <c r="F30" s="95"/>
      <c r="G30" s="95"/>
      <c r="H30" s="95"/>
      <c r="I30" s="95"/>
      <c r="J30" s="95"/>
      <c r="K30" s="56"/>
      <c r="M30" s="72"/>
      <c r="N30" s="72"/>
      <c r="O30" s="72"/>
      <c r="P30" s="72"/>
      <c r="Q30" s="72"/>
      <c r="R30" s="73"/>
      <c r="S30" s="73"/>
      <c r="T30" s="69"/>
      <c r="U30" s="69"/>
      <c r="V30" s="69"/>
      <c r="W30" s="69"/>
      <c r="X30" s="69"/>
      <c r="Y30" s="69"/>
    </row>
    <row r="31" spans="1:25" s="38" customFormat="1" ht="12.75" customHeight="1" x14ac:dyDescent="0.3">
      <c r="A31" s="56"/>
      <c r="B31" s="95"/>
      <c r="C31" s="95"/>
      <c r="D31" s="95"/>
      <c r="E31" s="95"/>
      <c r="F31" s="95"/>
      <c r="G31" s="95"/>
      <c r="H31" s="95"/>
      <c r="I31" s="95"/>
      <c r="J31" s="95"/>
      <c r="K31" s="56"/>
      <c r="M31" s="72"/>
      <c r="N31" s="72"/>
      <c r="O31" s="72"/>
      <c r="P31" s="72"/>
      <c r="Q31" s="72"/>
      <c r="R31" s="73"/>
      <c r="S31" s="73"/>
      <c r="T31" s="69"/>
      <c r="U31" s="69"/>
      <c r="V31" s="69"/>
      <c r="W31" s="69"/>
      <c r="X31" s="69"/>
      <c r="Y31" s="69"/>
    </row>
    <row r="32" spans="1:25" s="38" customFormat="1" ht="13.8" x14ac:dyDescent="0.3">
      <c r="A32" s="56"/>
      <c r="B32" s="95"/>
      <c r="C32" s="95"/>
      <c r="D32" s="95"/>
      <c r="E32" s="95"/>
      <c r="F32" s="95"/>
      <c r="G32" s="95"/>
      <c r="H32" s="95"/>
      <c r="I32" s="95"/>
      <c r="J32" s="95"/>
      <c r="K32" s="56"/>
      <c r="M32" s="72"/>
      <c r="N32" s="72"/>
      <c r="O32" s="72"/>
      <c r="P32" s="72"/>
      <c r="Q32" s="72"/>
      <c r="R32" s="73"/>
      <c r="S32" s="73"/>
      <c r="T32" s="69"/>
      <c r="U32" s="69"/>
      <c r="V32" s="69"/>
      <c r="W32" s="69"/>
      <c r="X32" s="69"/>
      <c r="Y32" s="69"/>
    </row>
    <row r="33" spans="1:25" s="38" customFormat="1" ht="12.75" customHeight="1" x14ac:dyDescent="0.3">
      <c r="A33" s="56"/>
      <c r="B33" s="95"/>
      <c r="C33" s="95"/>
      <c r="D33" s="95"/>
      <c r="E33" s="95"/>
      <c r="F33" s="95"/>
      <c r="G33" s="95"/>
      <c r="H33" s="95"/>
      <c r="I33" s="95"/>
      <c r="J33" s="95"/>
      <c r="K33" s="56"/>
      <c r="M33" s="72"/>
      <c r="N33" s="72"/>
      <c r="O33" s="72"/>
      <c r="P33" s="72"/>
      <c r="Q33" s="72"/>
      <c r="R33" s="73"/>
      <c r="S33" s="73"/>
      <c r="T33" s="69"/>
      <c r="U33" s="69"/>
      <c r="V33" s="69"/>
      <c r="W33" s="69"/>
      <c r="X33" s="69"/>
      <c r="Y33" s="69"/>
    </row>
    <row r="34" spans="1:25" s="38" customFormat="1" ht="13.8" x14ac:dyDescent="0.3">
      <c r="A34" s="56"/>
      <c r="B34" s="90"/>
      <c r="C34" s="90"/>
      <c r="D34" s="97" t="s">
        <v>37</v>
      </c>
      <c r="E34" s="97"/>
      <c r="F34" s="97"/>
      <c r="G34" s="97"/>
      <c r="H34" s="97"/>
      <c r="I34" s="90"/>
      <c r="J34" s="90"/>
      <c r="K34" s="56"/>
      <c r="M34" s="72"/>
      <c r="N34" s="72"/>
      <c r="O34" s="72"/>
      <c r="P34" s="72"/>
      <c r="Q34" s="72"/>
      <c r="R34" s="73"/>
      <c r="S34" s="76"/>
      <c r="T34" s="69"/>
      <c r="U34" s="69"/>
      <c r="V34" s="69"/>
      <c r="W34" s="69"/>
      <c r="X34" s="69"/>
      <c r="Y34" s="69"/>
    </row>
    <row r="35" spans="1:25" s="38" customFormat="1" ht="13.8" x14ac:dyDescent="0.3">
      <c r="A35" s="56"/>
      <c r="B35" s="56"/>
      <c r="C35" s="56"/>
      <c r="I35" s="56"/>
      <c r="J35" s="56"/>
      <c r="K35" s="56"/>
      <c r="M35" s="72"/>
      <c r="N35" s="72"/>
      <c r="O35" s="72"/>
      <c r="P35" s="72"/>
      <c r="Q35" s="72"/>
      <c r="R35" s="73"/>
      <c r="S35" s="76"/>
      <c r="T35" s="69"/>
      <c r="U35" s="69"/>
      <c r="V35" s="69"/>
      <c r="W35" s="69"/>
      <c r="X35" s="69"/>
      <c r="Y35" s="69"/>
    </row>
    <row r="36" spans="1:25" s="38" customFormat="1" ht="12.75" customHeight="1" x14ac:dyDescent="0.3">
      <c r="A36" s="56"/>
      <c r="B36" s="57" t="s">
        <v>38</v>
      </c>
      <c r="C36" s="56"/>
      <c r="D36" s="56"/>
      <c r="E36" s="56"/>
      <c r="F36" s="92"/>
      <c r="G36" s="56"/>
      <c r="H36" s="56"/>
      <c r="I36" s="56"/>
      <c r="J36" s="56"/>
      <c r="K36" s="56"/>
      <c r="M36" s="72"/>
      <c r="N36" s="72"/>
      <c r="O36" s="72"/>
      <c r="P36" s="72"/>
      <c r="Q36" s="72"/>
      <c r="R36" s="73"/>
      <c r="S36" s="73"/>
      <c r="T36" s="69"/>
      <c r="U36" s="69"/>
      <c r="V36" s="69"/>
      <c r="W36" s="69"/>
      <c r="X36" s="69"/>
      <c r="Y36" s="69"/>
    </row>
    <row r="37" spans="1:25" s="38" customFormat="1" ht="13.8" x14ac:dyDescent="0.3">
      <c r="A37" s="56"/>
      <c r="B37" s="57"/>
      <c r="C37" s="56"/>
      <c r="D37" s="56"/>
      <c r="E37" s="56"/>
      <c r="F37" s="92"/>
      <c r="G37" s="56"/>
      <c r="H37" s="56"/>
      <c r="I37" s="56"/>
      <c r="J37" s="56"/>
      <c r="K37" s="56"/>
      <c r="M37" s="72"/>
      <c r="N37" s="72"/>
      <c r="O37" s="72"/>
      <c r="P37" s="72"/>
      <c r="Q37" s="72"/>
      <c r="R37" s="73"/>
      <c r="S37" s="73"/>
      <c r="T37" s="69"/>
      <c r="U37" s="69"/>
      <c r="V37" s="69"/>
      <c r="W37" s="69"/>
      <c r="X37" s="69"/>
      <c r="Y37" s="69"/>
    </row>
    <row r="38" spans="1:25" s="38" customFormat="1" ht="13.8" x14ac:dyDescent="0.3">
      <c r="A38" s="56"/>
      <c r="B38" s="95" t="s">
        <v>47</v>
      </c>
      <c r="C38" s="95"/>
      <c r="D38" s="95"/>
      <c r="E38" s="95"/>
      <c r="F38" s="95"/>
      <c r="G38" s="95"/>
      <c r="H38" s="95"/>
      <c r="I38" s="95"/>
      <c r="J38" s="95"/>
      <c r="K38" s="56"/>
      <c r="M38" s="72"/>
      <c r="N38" s="72"/>
      <c r="O38" s="72"/>
      <c r="P38" s="72"/>
      <c r="Q38" s="72"/>
      <c r="R38" s="73"/>
      <c r="S38" s="73"/>
      <c r="T38" s="69"/>
      <c r="U38" s="69"/>
      <c r="V38" s="69"/>
      <c r="W38" s="69"/>
      <c r="X38" s="69"/>
      <c r="Y38" s="69"/>
    </row>
    <row r="39" spans="1:25" s="38" customFormat="1" ht="13.8" x14ac:dyDescent="0.3">
      <c r="A39" s="56"/>
      <c r="B39" s="95"/>
      <c r="C39" s="95"/>
      <c r="D39" s="95"/>
      <c r="E39" s="95"/>
      <c r="F39" s="95"/>
      <c r="G39" s="95"/>
      <c r="H39" s="95"/>
      <c r="I39" s="95"/>
      <c r="J39" s="95"/>
      <c r="K39" s="56"/>
      <c r="M39" s="72"/>
      <c r="N39" s="72"/>
      <c r="O39" s="72"/>
      <c r="P39" s="72"/>
      <c r="Q39" s="72"/>
      <c r="R39" s="73"/>
      <c r="S39" s="73"/>
      <c r="T39" s="69"/>
      <c r="U39" s="69"/>
      <c r="V39" s="69"/>
      <c r="W39" s="69"/>
      <c r="X39" s="69"/>
      <c r="Y39" s="69"/>
    </row>
    <row r="40" spans="1:25" s="38" customFormat="1" ht="13.8" x14ac:dyDescent="0.3">
      <c r="A40" s="56"/>
      <c r="B40" s="90"/>
      <c r="C40" s="90"/>
      <c r="D40" s="90"/>
      <c r="E40" s="90"/>
      <c r="F40" s="90"/>
      <c r="G40" s="90"/>
      <c r="H40" s="90"/>
      <c r="I40" s="90"/>
      <c r="J40" s="90"/>
      <c r="K40" s="56"/>
      <c r="M40" s="72"/>
      <c r="N40" s="72"/>
      <c r="O40" s="72"/>
      <c r="P40" s="72"/>
      <c r="Q40" s="72"/>
      <c r="R40" s="73"/>
      <c r="S40" s="73"/>
      <c r="T40" s="69"/>
      <c r="U40" s="69"/>
      <c r="V40" s="69"/>
      <c r="W40" s="69"/>
      <c r="X40" s="69"/>
      <c r="Y40" s="69"/>
    </row>
    <row r="41" spans="1:25" s="38" customFormat="1" ht="13.8" x14ac:dyDescent="0.3">
      <c r="A41" s="56"/>
      <c r="B41" s="95" t="s">
        <v>48</v>
      </c>
      <c r="C41" s="95"/>
      <c r="D41" s="95"/>
      <c r="E41" s="95"/>
      <c r="F41" s="95"/>
      <c r="G41" s="95"/>
      <c r="H41" s="95"/>
      <c r="I41" s="95"/>
      <c r="J41" s="95"/>
      <c r="K41" s="56"/>
      <c r="M41" s="72"/>
      <c r="N41" s="72"/>
      <c r="O41" s="72"/>
      <c r="P41" s="72"/>
      <c r="Q41" s="72"/>
      <c r="R41" s="73"/>
      <c r="S41" s="73"/>
      <c r="T41" s="69"/>
      <c r="U41" s="69"/>
      <c r="V41" s="69"/>
      <c r="W41" s="69"/>
      <c r="X41" s="69"/>
      <c r="Y41" s="69"/>
    </row>
    <row r="42" spans="1:25" s="38" customFormat="1" ht="13.8" x14ac:dyDescent="0.3">
      <c r="A42" s="56"/>
      <c r="B42" s="95"/>
      <c r="C42" s="95"/>
      <c r="D42" s="95"/>
      <c r="E42" s="95"/>
      <c r="F42" s="95"/>
      <c r="G42" s="95"/>
      <c r="H42" s="95"/>
      <c r="I42" s="95"/>
      <c r="J42" s="95"/>
      <c r="K42" s="56"/>
      <c r="M42" s="72"/>
      <c r="N42" s="72"/>
      <c r="O42" s="72"/>
      <c r="P42" s="72"/>
      <c r="Q42" s="72"/>
      <c r="R42" s="73"/>
      <c r="S42" s="73"/>
      <c r="T42" s="69"/>
      <c r="U42" s="69"/>
      <c r="V42" s="69"/>
      <c r="W42" s="69"/>
      <c r="X42" s="69"/>
      <c r="Y42" s="69"/>
    </row>
    <row r="43" spans="1:25" s="38" customFormat="1" ht="13.8" x14ac:dyDescent="0.3">
      <c r="A43" s="56"/>
      <c r="B43" s="95"/>
      <c r="C43" s="95"/>
      <c r="D43" s="95"/>
      <c r="E43" s="95"/>
      <c r="F43" s="95"/>
      <c r="G43" s="95"/>
      <c r="H43" s="95"/>
      <c r="I43" s="95"/>
      <c r="J43" s="95"/>
      <c r="K43" s="56"/>
      <c r="M43" s="72"/>
      <c r="N43" s="72"/>
      <c r="O43" s="72"/>
      <c r="P43" s="72"/>
      <c r="Q43" s="72"/>
      <c r="R43" s="73"/>
      <c r="S43" s="73"/>
      <c r="T43" s="69"/>
      <c r="U43" s="69"/>
      <c r="V43" s="69"/>
      <c r="W43" s="69"/>
      <c r="X43" s="69"/>
      <c r="Y43" s="69"/>
    </row>
    <row r="44" spans="1:25" s="38" customFormat="1" ht="13.8" x14ac:dyDescent="0.3">
      <c r="A44" s="56"/>
      <c r="B44" s="90"/>
      <c r="C44" s="90"/>
      <c r="D44" s="90"/>
      <c r="E44" s="90"/>
      <c r="F44" s="90"/>
      <c r="G44" s="90"/>
      <c r="H44" s="90"/>
      <c r="I44" s="90"/>
      <c r="J44" s="90"/>
      <c r="K44" s="56"/>
      <c r="M44" s="72"/>
      <c r="N44" s="72"/>
      <c r="O44" s="72"/>
      <c r="P44" s="72"/>
      <c r="Q44" s="72"/>
      <c r="R44" s="73"/>
      <c r="S44" s="73"/>
      <c r="T44" s="69"/>
      <c r="U44" s="69"/>
      <c r="V44" s="69"/>
      <c r="W44" s="69"/>
      <c r="X44" s="69"/>
      <c r="Y44" s="69"/>
    </row>
    <row r="45" spans="1:25" s="38" customFormat="1" ht="12.75" customHeight="1" x14ac:dyDescent="0.3">
      <c r="A45" s="56"/>
      <c r="B45" s="95" t="s">
        <v>40</v>
      </c>
      <c r="C45" s="95"/>
      <c r="D45" s="95"/>
      <c r="E45" s="95"/>
      <c r="F45" s="95"/>
      <c r="G45" s="95"/>
      <c r="H45" s="95"/>
      <c r="I45" s="95"/>
      <c r="J45" s="95"/>
      <c r="K45" s="56"/>
      <c r="M45" s="72"/>
      <c r="N45" s="72"/>
      <c r="O45" s="72"/>
      <c r="P45" s="72"/>
      <c r="Q45" s="72"/>
      <c r="R45" s="73"/>
      <c r="S45" s="73"/>
      <c r="T45" s="69"/>
      <c r="U45" s="69"/>
      <c r="V45" s="69"/>
      <c r="W45" s="69"/>
      <c r="X45" s="69"/>
      <c r="Y45" s="69"/>
    </row>
    <row r="46" spans="1:25" s="38" customFormat="1" ht="13.8" x14ac:dyDescent="0.3">
      <c r="A46" s="56"/>
      <c r="B46" s="95"/>
      <c r="C46" s="95"/>
      <c r="D46" s="95"/>
      <c r="E46" s="95"/>
      <c r="F46" s="95"/>
      <c r="G46" s="95"/>
      <c r="H46" s="95"/>
      <c r="I46" s="95"/>
      <c r="J46" s="95"/>
      <c r="K46" s="56"/>
      <c r="M46" s="72"/>
      <c r="N46" s="72"/>
      <c r="O46" s="72"/>
      <c r="P46" s="72"/>
      <c r="Q46" s="72"/>
      <c r="R46" s="73"/>
      <c r="S46" s="73"/>
      <c r="T46" s="69"/>
      <c r="U46" s="69"/>
      <c r="V46" s="69"/>
      <c r="W46" s="69"/>
      <c r="X46" s="69"/>
      <c r="Y46" s="69"/>
    </row>
    <row r="47" spans="1:25" s="38" customFormat="1" ht="13.8" x14ac:dyDescent="0.3">
      <c r="A47" s="56"/>
      <c r="B47" s="95"/>
      <c r="C47" s="95"/>
      <c r="D47" s="95"/>
      <c r="E47" s="95"/>
      <c r="F47" s="95"/>
      <c r="G47" s="95"/>
      <c r="H47" s="95"/>
      <c r="I47" s="95"/>
      <c r="J47" s="95"/>
      <c r="K47" s="56"/>
      <c r="M47" s="72"/>
      <c r="N47" s="72"/>
      <c r="O47" s="72"/>
      <c r="P47" s="72"/>
      <c r="Q47" s="72"/>
      <c r="R47" s="73"/>
      <c r="S47" s="73"/>
      <c r="T47" s="69"/>
      <c r="U47" s="69"/>
      <c r="V47" s="69"/>
      <c r="W47" s="69"/>
      <c r="X47" s="69"/>
      <c r="Y47" s="69"/>
    </row>
    <row r="48" spans="1:25" s="38" customFormat="1" ht="12.75" customHeight="1" x14ac:dyDescent="0.3">
      <c r="A48" s="56"/>
      <c r="B48" s="95"/>
      <c r="C48" s="95"/>
      <c r="D48" s="95"/>
      <c r="E48" s="95"/>
      <c r="F48" s="95"/>
      <c r="G48" s="95"/>
      <c r="H48" s="95"/>
      <c r="I48" s="95"/>
      <c r="J48" s="95"/>
      <c r="K48" s="56"/>
      <c r="M48" s="72"/>
      <c r="N48" s="72"/>
      <c r="O48" s="72"/>
      <c r="P48" s="72"/>
      <c r="Q48" s="72"/>
      <c r="R48" s="73"/>
      <c r="S48" s="73"/>
      <c r="T48" s="69"/>
      <c r="U48" s="69"/>
      <c r="V48" s="69"/>
      <c r="W48" s="69"/>
      <c r="X48" s="69"/>
      <c r="Y48" s="69"/>
    </row>
    <row r="49" spans="1:25" s="38" customFormat="1" ht="13.8" x14ac:dyDescent="0.3">
      <c r="A49" s="56"/>
      <c r="B49" s="56" t="s">
        <v>49</v>
      </c>
      <c r="C49" s="56"/>
      <c r="D49" s="56"/>
      <c r="E49" s="56"/>
      <c r="F49" s="56"/>
      <c r="G49" s="56"/>
      <c r="H49" s="56"/>
      <c r="I49" s="56"/>
      <c r="J49" s="56"/>
      <c r="K49" s="56"/>
      <c r="M49" s="72"/>
      <c r="N49" s="72"/>
      <c r="O49" s="72"/>
      <c r="P49" s="72"/>
      <c r="Q49" s="72"/>
      <c r="R49" s="73"/>
      <c r="S49" s="73"/>
      <c r="T49" s="69"/>
      <c r="U49" s="69"/>
      <c r="V49" s="69"/>
      <c r="W49" s="69"/>
      <c r="X49" s="69"/>
      <c r="Y49" s="69"/>
    </row>
    <row r="50" spans="1:25" s="38" customFormat="1" ht="13.8" x14ac:dyDescent="0.3">
      <c r="A50" s="56"/>
      <c r="B50" s="56"/>
      <c r="C50" s="56"/>
      <c r="D50" s="56"/>
      <c r="F50" s="91" t="s">
        <v>84</v>
      </c>
      <c r="G50" s="92"/>
      <c r="H50" s="56"/>
      <c r="I50" s="56"/>
      <c r="J50" s="56"/>
      <c r="K50" s="56"/>
      <c r="M50" s="72"/>
      <c r="N50" s="72"/>
      <c r="O50" s="72"/>
      <c r="P50" s="72"/>
      <c r="Q50" s="72"/>
      <c r="R50" s="73"/>
      <c r="S50" s="73"/>
      <c r="T50" s="69"/>
      <c r="U50" s="69"/>
      <c r="V50" s="69"/>
      <c r="W50" s="69"/>
      <c r="X50" s="69"/>
      <c r="Y50" s="69"/>
    </row>
    <row r="51" spans="1:25" s="38" customFormat="1" ht="13.8" x14ac:dyDescent="0.3">
      <c r="A51" s="56"/>
      <c r="B51" s="56"/>
      <c r="C51" s="56"/>
      <c r="D51" s="56"/>
      <c r="E51" s="56"/>
      <c r="F51" s="56"/>
      <c r="G51" s="56"/>
      <c r="H51" s="56"/>
      <c r="I51" s="56"/>
      <c r="J51" s="56"/>
      <c r="K51" s="56"/>
      <c r="M51" s="72"/>
      <c r="N51" s="72"/>
      <c r="O51" s="72"/>
      <c r="P51" s="72"/>
      <c r="Q51" s="72"/>
      <c r="R51" s="73"/>
      <c r="S51" s="73"/>
      <c r="T51" s="69"/>
      <c r="U51" s="69"/>
      <c r="V51" s="69"/>
      <c r="W51" s="69"/>
      <c r="X51" s="69"/>
      <c r="Y51" s="69"/>
    </row>
    <row r="52" spans="1:25" s="38" customFormat="1" ht="12.75" customHeight="1" x14ac:dyDescent="0.3">
      <c r="A52" s="56"/>
      <c r="B52" s="57" t="s">
        <v>50</v>
      </c>
      <c r="C52" s="56"/>
      <c r="D52" s="56"/>
      <c r="E52" s="56"/>
      <c r="F52" s="56"/>
      <c r="G52" s="56"/>
      <c r="H52" s="56"/>
      <c r="I52" s="56"/>
      <c r="J52" s="56"/>
      <c r="K52" s="56"/>
      <c r="M52" s="72"/>
      <c r="N52" s="72"/>
      <c r="O52" s="72"/>
      <c r="P52" s="72"/>
      <c r="Q52" s="72"/>
      <c r="R52" s="73"/>
      <c r="S52" s="73"/>
      <c r="T52" s="69"/>
      <c r="U52" s="69"/>
      <c r="V52" s="69"/>
      <c r="W52" s="69"/>
      <c r="X52" s="69"/>
      <c r="Y52" s="69"/>
    </row>
    <row r="53" spans="1:25" s="38" customFormat="1" ht="13.8" x14ac:dyDescent="0.3">
      <c r="A53" s="56"/>
      <c r="B53" s="56"/>
      <c r="C53" s="56"/>
      <c r="D53" s="56"/>
      <c r="E53" s="56"/>
      <c r="F53" s="56"/>
      <c r="G53" s="56"/>
      <c r="H53" s="56"/>
      <c r="I53" s="56"/>
      <c r="J53" s="56"/>
      <c r="K53" s="56"/>
      <c r="M53" s="72"/>
      <c r="N53" s="72"/>
      <c r="O53" s="72"/>
      <c r="P53" s="72"/>
      <c r="Q53" s="72"/>
      <c r="R53" s="73"/>
      <c r="S53" s="73"/>
      <c r="T53" s="69"/>
      <c r="U53" s="69"/>
      <c r="V53" s="69"/>
      <c r="W53" s="69"/>
      <c r="X53" s="69"/>
      <c r="Y53" s="69"/>
    </row>
    <row r="54" spans="1:25" s="38" customFormat="1" ht="13.8" x14ac:dyDescent="0.3">
      <c r="A54" s="56"/>
      <c r="B54" s="96" t="s">
        <v>51</v>
      </c>
      <c r="C54" s="96"/>
      <c r="D54" s="96"/>
      <c r="E54" s="96"/>
      <c r="F54" s="96"/>
      <c r="G54" s="96"/>
      <c r="H54" s="96"/>
      <c r="I54" s="96"/>
      <c r="J54" s="96"/>
      <c r="K54" s="56"/>
      <c r="M54" s="72"/>
      <c r="N54" s="72"/>
      <c r="O54" s="72"/>
      <c r="P54" s="72"/>
      <c r="Q54" s="72"/>
      <c r="R54" s="73"/>
      <c r="S54" s="73"/>
      <c r="T54" s="69"/>
      <c r="U54" s="69"/>
      <c r="V54" s="69"/>
      <c r="W54" s="69"/>
      <c r="X54" s="69"/>
      <c r="Y54" s="69"/>
    </row>
    <row r="55" spans="1:25" s="38" customFormat="1" ht="13.8" x14ac:dyDescent="0.3">
      <c r="A55" s="56"/>
      <c r="B55" s="96"/>
      <c r="C55" s="96"/>
      <c r="D55" s="96"/>
      <c r="E55" s="96"/>
      <c r="F55" s="96"/>
      <c r="G55" s="96"/>
      <c r="H55" s="96"/>
      <c r="I55" s="96"/>
      <c r="J55" s="96"/>
      <c r="K55" s="56"/>
      <c r="M55" s="72"/>
      <c r="N55" s="72"/>
      <c r="O55" s="72"/>
      <c r="P55" s="72"/>
      <c r="Q55" s="72"/>
      <c r="R55" s="73"/>
      <c r="S55" s="73"/>
      <c r="T55" s="69"/>
      <c r="U55" s="69"/>
      <c r="V55" s="69"/>
      <c r="W55" s="69"/>
      <c r="X55" s="69"/>
      <c r="Y55" s="69"/>
    </row>
    <row r="56" spans="1:25" s="38" customFormat="1" ht="13.8" x14ac:dyDescent="0.3">
      <c r="A56" s="56"/>
      <c r="B56" s="96"/>
      <c r="C56" s="96"/>
      <c r="D56" s="96"/>
      <c r="E56" s="96"/>
      <c r="F56" s="96"/>
      <c r="G56" s="96"/>
      <c r="H56" s="96"/>
      <c r="I56" s="96"/>
      <c r="J56" s="96"/>
      <c r="K56" s="56"/>
      <c r="M56" s="72"/>
      <c r="N56" s="72"/>
      <c r="O56"/>
      <c r="P56" s="72"/>
      <c r="Q56" s="72"/>
      <c r="R56" s="73"/>
      <c r="S56" s="73"/>
      <c r="T56" s="69"/>
      <c r="U56" s="69"/>
      <c r="V56" s="69"/>
      <c r="W56" s="69"/>
      <c r="X56" s="69"/>
      <c r="Y56" s="69"/>
    </row>
    <row r="57" spans="1:25" s="38" customFormat="1" ht="13.8" x14ac:dyDescent="0.3">
      <c r="A57" s="56"/>
      <c r="B57" s="56"/>
      <c r="C57" s="56"/>
      <c r="D57" s="56"/>
      <c r="F57" s="92"/>
      <c r="G57" s="56"/>
      <c r="H57" s="56"/>
      <c r="I57" s="56"/>
      <c r="J57" s="56"/>
      <c r="K57" s="56"/>
      <c r="M57" s="72"/>
      <c r="N57" s="72"/>
      <c r="O57" s="72"/>
      <c r="P57" s="72"/>
      <c r="Q57" s="72"/>
      <c r="R57" s="73"/>
      <c r="S57" s="73"/>
      <c r="T57" s="69"/>
      <c r="U57" s="69"/>
      <c r="V57" s="69"/>
      <c r="W57" s="69"/>
      <c r="X57" s="69"/>
      <c r="Y57" s="69"/>
    </row>
    <row r="58" spans="1:25" s="38" customFormat="1" ht="13.8" x14ac:dyDescent="0.3">
      <c r="A58" s="56"/>
      <c r="B58" s="56"/>
      <c r="C58" s="56"/>
      <c r="D58" s="56"/>
      <c r="E58" s="56"/>
      <c r="F58" s="56"/>
      <c r="G58" s="56"/>
      <c r="H58" s="56"/>
      <c r="I58" s="56"/>
      <c r="J58" s="56"/>
      <c r="K58" s="56"/>
      <c r="M58" s="72"/>
      <c r="N58" s="72"/>
      <c r="O58" s="72"/>
      <c r="P58" s="72"/>
      <c r="Q58" s="72"/>
      <c r="R58" s="73"/>
      <c r="S58" s="73"/>
      <c r="T58" s="69"/>
      <c r="U58" s="69"/>
      <c r="V58" s="69"/>
      <c r="W58" s="69"/>
      <c r="X58" s="69"/>
      <c r="Y58" s="69"/>
    </row>
    <row r="59" spans="1:25" s="38" customFormat="1" ht="13.8" x14ac:dyDescent="0.3">
      <c r="K59" s="56"/>
      <c r="M59" s="72"/>
      <c r="N59" s="72"/>
      <c r="O59" s="93"/>
      <c r="P59" s="72"/>
      <c r="Q59" s="72"/>
      <c r="R59" s="73"/>
      <c r="S59" s="73"/>
      <c r="T59" s="69"/>
      <c r="U59" s="69"/>
      <c r="V59" s="69"/>
      <c r="W59" s="69"/>
      <c r="X59" s="69"/>
      <c r="Y59" s="69"/>
    </row>
    <row r="60" spans="1:25" s="38" customFormat="1" ht="13.8" x14ac:dyDescent="0.3">
      <c r="A60" s="56"/>
      <c r="B60" s="56" t="s">
        <v>41</v>
      </c>
      <c r="C60" s="56"/>
      <c r="D60" s="56"/>
      <c r="E60" s="56"/>
      <c r="F60" s="56"/>
      <c r="G60" s="56"/>
      <c r="H60" s="56"/>
      <c r="I60" s="56"/>
      <c r="J60" s="56"/>
      <c r="K60" s="56"/>
      <c r="M60" s="72"/>
      <c r="N60" s="72"/>
      <c r="O60" s="72"/>
      <c r="P60" s="72"/>
      <c r="Q60" s="72"/>
      <c r="R60" s="73"/>
      <c r="S60" s="73"/>
      <c r="T60" s="69"/>
      <c r="U60" s="69"/>
      <c r="V60" s="69"/>
      <c r="W60" s="69"/>
      <c r="X60" s="69"/>
      <c r="Y60" s="69"/>
    </row>
    <row r="61" spans="1:25" s="38" customFormat="1" ht="13.8" x14ac:dyDescent="0.3">
      <c r="A61" s="56"/>
      <c r="C61" s="56"/>
      <c r="D61" s="56"/>
      <c r="F61" s="91" t="s">
        <v>85</v>
      </c>
      <c r="G61" s="94"/>
      <c r="H61" s="56"/>
      <c r="I61" s="56"/>
      <c r="J61" s="56"/>
      <c r="K61" s="56"/>
      <c r="M61" s="72"/>
      <c r="N61" s="72"/>
      <c r="O61" s="72"/>
      <c r="P61" s="72"/>
      <c r="Q61" s="72"/>
      <c r="R61" s="73"/>
      <c r="S61" s="73"/>
      <c r="T61" s="69"/>
      <c r="U61" s="69"/>
      <c r="V61" s="69"/>
      <c r="W61" s="69"/>
      <c r="X61" s="69"/>
      <c r="Y61" s="69"/>
    </row>
    <row r="62" spans="1:25" s="38" customFormat="1" ht="13.8" x14ac:dyDescent="0.3">
      <c r="A62" s="56"/>
      <c r="B62" s="56"/>
      <c r="C62" s="56"/>
      <c r="D62" s="56"/>
      <c r="E62" s="56"/>
      <c r="F62" s="56"/>
      <c r="G62" s="56"/>
      <c r="H62" s="56"/>
      <c r="I62" s="56"/>
      <c r="J62" s="56"/>
      <c r="K62" s="56"/>
      <c r="M62" s="72"/>
      <c r="N62" s="72"/>
      <c r="O62" s="72"/>
      <c r="P62" s="72"/>
      <c r="Q62" s="72"/>
      <c r="R62" s="73"/>
      <c r="S62" s="73"/>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60"/>
  <sheetViews>
    <sheetView tabSelected="1" view="pageBreakPreview" zoomScaleNormal="100" zoomScaleSheetLayoutView="100" workbookViewId="0">
      <selection activeCell="B14" sqref="B14:K14"/>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24" width="6.5546875" style="2" bestFit="1" customWidth="1"/>
    <col min="25" max="25" width="8.33203125" style="2" bestFit="1" customWidth="1"/>
    <col min="26" max="30" width="6.5546875" style="2" bestFit="1" customWidth="1"/>
    <col min="31" max="171" width="9.109375" style="3"/>
    <col min="172" max="16384" width="9.109375" style="4"/>
  </cols>
  <sheetData>
    <row r="1" spans="1:185" s="38" customFormat="1" x14ac:dyDescent="0.3">
      <c r="A1" s="34"/>
      <c r="B1" s="35" t="s">
        <v>3</v>
      </c>
      <c r="C1" s="36" t="s">
        <v>2</v>
      </c>
      <c r="D1" s="34"/>
      <c r="E1" s="34"/>
      <c r="F1" s="35" t="s">
        <v>23</v>
      </c>
      <c r="G1" s="37">
        <f>X1</f>
        <v>1</v>
      </c>
      <c r="H1" s="34"/>
      <c r="I1" s="34"/>
      <c r="J1" s="34"/>
      <c r="K1" s="34"/>
      <c r="M1" s="39" t="s">
        <v>14</v>
      </c>
      <c r="N1" s="39" t="s">
        <v>15</v>
      </c>
      <c r="O1" s="39" t="s">
        <v>16</v>
      </c>
      <c r="P1" s="39" t="s">
        <v>16</v>
      </c>
      <c r="Q1" s="39" t="s">
        <v>16</v>
      </c>
      <c r="R1" s="39" t="s">
        <v>17</v>
      </c>
      <c r="S1" s="59" t="s">
        <v>18</v>
      </c>
      <c r="T1" s="60" t="s">
        <v>24</v>
      </c>
      <c r="W1" s="40" t="s">
        <v>25</v>
      </c>
      <c r="X1" s="41">
        <f>SUM(M:M)</f>
        <v>1</v>
      </c>
    </row>
    <row r="2" spans="1:185" s="38" customFormat="1" x14ac:dyDescent="0.3">
      <c r="A2" s="34"/>
      <c r="B2" s="35" t="s">
        <v>4</v>
      </c>
      <c r="C2" s="36" t="s">
        <v>5</v>
      </c>
      <c r="D2" s="34"/>
      <c r="E2" s="34"/>
      <c r="F2" s="35" t="s">
        <v>6</v>
      </c>
      <c r="G2" s="36" t="s">
        <v>77</v>
      </c>
      <c r="H2" s="34"/>
      <c r="I2" s="34"/>
      <c r="J2" s="34"/>
      <c r="K2" s="34"/>
      <c r="M2" s="42" t="s">
        <v>19</v>
      </c>
      <c r="N2" s="42" t="s">
        <v>19</v>
      </c>
      <c r="O2" s="42" t="s">
        <v>15</v>
      </c>
      <c r="P2" s="42" t="s">
        <v>15</v>
      </c>
      <c r="Q2" s="42" t="s">
        <v>15</v>
      </c>
      <c r="R2" s="42" t="s">
        <v>19</v>
      </c>
      <c r="S2" s="61" t="s">
        <v>19</v>
      </c>
      <c r="T2" s="62"/>
      <c r="W2" s="40" t="s">
        <v>26</v>
      </c>
      <c r="X2" s="41">
        <f>SUM(N:N)</f>
        <v>0</v>
      </c>
    </row>
    <row r="3" spans="1:185" s="38" customFormat="1" x14ac:dyDescent="0.3">
      <c r="A3" s="34"/>
      <c r="B3" s="35" t="s">
        <v>1</v>
      </c>
      <c r="C3" s="43" t="s">
        <v>27</v>
      </c>
      <c r="D3" s="34"/>
      <c r="E3" s="34"/>
      <c r="F3" s="35" t="s">
        <v>0</v>
      </c>
      <c r="G3" s="36" t="s">
        <v>86</v>
      </c>
      <c r="H3" s="34"/>
      <c r="I3" s="34"/>
      <c r="J3" s="34"/>
      <c r="K3" s="34"/>
      <c r="M3" s="42"/>
      <c r="N3" s="42"/>
      <c r="O3" s="42"/>
      <c r="P3" s="42"/>
      <c r="Q3" s="42"/>
      <c r="R3" s="42"/>
      <c r="S3" s="61"/>
      <c r="T3" s="62"/>
      <c r="W3" s="40" t="s">
        <v>28</v>
      </c>
      <c r="X3" s="41">
        <f>SUM(O:O)</f>
        <v>0</v>
      </c>
    </row>
    <row r="4" spans="1:185" s="38" customFormat="1" x14ac:dyDescent="0.3">
      <c r="A4" s="34"/>
      <c r="B4" s="35" t="s">
        <v>29</v>
      </c>
      <c r="C4" s="37"/>
      <c r="D4" s="34"/>
      <c r="E4" s="34"/>
      <c r="F4" s="35" t="s">
        <v>30</v>
      </c>
      <c r="G4" s="36" t="s">
        <v>78</v>
      </c>
      <c r="H4" s="34"/>
      <c r="I4" s="34"/>
      <c r="J4" s="34"/>
      <c r="K4" s="34"/>
      <c r="M4" s="42"/>
      <c r="N4" s="42"/>
      <c r="O4" s="42"/>
      <c r="P4" s="42"/>
      <c r="Q4" s="44"/>
      <c r="R4" s="45"/>
      <c r="S4" s="63"/>
      <c r="T4" s="62"/>
      <c r="W4" s="40" t="s">
        <v>28</v>
      </c>
      <c r="X4" s="41">
        <f>SUM(P:P)</f>
        <v>0</v>
      </c>
    </row>
    <row r="5" spans="1:185" s="38" customFormat="1" x14ac:dyDescent="0.3">
      <c r="A5" s="34"/>
      <c r="B5" s="35" t="s">
        <v>32</v>
      </c>
      <c r="C5" s="37" t="s">
        <v>39</v>
      </c>
      <c r="D5" s="34"/>
      <c r="E5" s="35"/>
      <c r="F5" s="34"/>
      <c r="G5" s="34"/>
      <c r="H5" s="34"/>
      <c r="I5" s="34"/>
      <c r="J5" s="34"/>
      <c r="K5" s="34"/>
      <c r="M5" s="42"/>
      <c r="N5" s="42"/>
      <c r="O5" s="42"/>
      <c r="P5" s="42"/>
      <c r="Q5" s="44"/>
      <c r="R5" s="45"/>
      <c r="S5" s="63"/>
      <c r="T5" s="62"/>
      <c r="W5" s="40" t="s">
        <v>28</v>
      </c>
      <c r="X5" s="41">
        <f>SUM(Q:Q)</f>
        <v>0</v>
      </c>
    </row>
    <row r="6" spans="1:185" s="38" customFormat="1" x14ac:dyDescent="0.3">
      <c r="A6" s="34"/>
      <c r="B6" s="34" t="s">
        <v>7</v>
      </c>
      <c r="C6" s="46"/>
      <c r="D6" s="34"/>
      <c r="E6" s="34"/>
      <c r="F6" s="34"/>
      <c r="G6" s="34"/>
      <c r="H6" s="34"/>
      <c r="I6" s="34"/>
      <c r="J6" s="34"/>
      <c r="K6" s="34"/>
      <c r="M6" s="42"/>
      <c r="N6" s="42"/>
      <c r="O6" s="42"/>
      <c r="P6" s="42"/>
      <c r="Q6" s="44"/>
      <c r="R6" s="45"/>
      <c r="S6" s="63"/>
      <c r="T6" s="62"/>
      <c r="W6" s="40" t="s">
        <v>33</v>
      </c>
      <c r="X6" s="41">
        <f>SUM(R:R)</f>
        <v>0</v>
      </c>
    </row>
    <row r="7" spans="1:185" s="38" customFormat="1" x14ac:dyDescent="0.3">
      <c r="A7" s="34"/>
      <c r="B7" s="34"/>
      <c r="C7" s="34"/>
      <c r="D7" s="34"/>
      <c r="E7" s="34"/>
      <c r="F7" s="34"/>
      <c r="G7" s="34"/>
      <c r="H7" s="34"/>
      <c r="I7" s="34"/>
      <c r="J7" s="34"/>
      <c r="K7" s="34"/>
      <c r="M7" s="42"/>
      <c r="N7" s="42"/>
      <c r="O7" s="42"/>
      <c r="P7" s="42"/>
      <c r="Q7" s="44"/>
      <c r="R7" s="45"/>
      <c r="S7" s="63"/>
      <c r="T7" s="62"/>
      <c r="W7" s="40" t="s">
        <v>34</v>
      </c>
      <c r="X7" s="41">
        <f>SUM(S:S)</f>
        <v>0</v>
      </c>
    </row>
    <row r="8" spans="1:185" x14ac:dyDescent="0.3">
      <c r="A8" s="47"/>
      <c r="B8" s="38"/>
      <c r="C8" s="38"/>
      <c r="D8" s="38"/>
      <c r="E8" s="40" t="s">
        <v>3</v>
      </c>
      <c r="F8" s="41" t="str">
        <f>$C$1</f>
        <v>R. Abbott</v>
      </c>
      <c r="G8" s="38"/>
      <c r="H8" s="48"/>
      <c r="I8" s="40" t="s">
        <v>8</v>
      </c>
      <c r="J8" s="49" t="str">
        <f>$G$2</f>
        <v>AA-SM-140-001</v>
      </c>
      <c r="K8" s="50"/>
      <c r="L8" s="51"/>
      <c r="M8" s="42"/>
      <c r="N8" s="42"/>
      <c r="O8" s="42"/>
      <c r="P8" s="5"/>
      <c r="S8" s="58"/>
      <c r="T8" s="7"/>
      <c r="AD8" s="8"/>
    </row>
    <row r="9" spans="1:185" s="10" customFormat="1" x14ac:dyDescent="0.3">
      <c r="A9" s="38"/>
      <c r="B9" s="38"/>
      <c r="C9" s="38"/>
      <c r="D9" s="38"/>
      <c r="E9" s="40" t="s">
        <v>4</v>
      </c>
      <c r="F9" s="48" t="str">
        <f>$C$2</f>
        <v xml:space="preserve"> </v>
      </c>
      <c r="G9" s="38"/>
      <c r="H9" s="48"/>
      <c r="I9" s="40" t="s">
        <v>9</v>
      </c>
      <c r="J9" s="50" t="s">
        <v>88</v>
      </c>
      <c r="K9" s="50"/>
      <c r="L9" s="51"/>
      <c r="M9" s="42">
        <v>1</v>
      </c>
      <c r="N9" s="42"/>
      <c r="O9" s="42"/>
      <c r="P9" s="5"/>
      <c r="Q9" s="9"/>
      <c r="R9" s="7"/>
      <c r="S9" s="58"/>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8"/>
      <c r="B10" s="38"/>
      <c r="C10" s="38"/>
      <c r="D10" s="38"/>
      <c r="E10" s="40" t="s">
        <v>1</v>
      </c>
      <c r="F10" s="48" t="str">
        <f>$C$3</f>
        <v>20/10/2013</v>
      </c>
      <c r="G10" s="38"/>
      <c r="H10" s="48"/>
      <c r="I10" s="40" t="s">
        <v>10</v>
      </c>
      <c r="J10" s="41" t="str">
        <f>L10&amp;" of "&amp;$G$1</f>
        <v>1 of 1</v>
      </c>
      <c r="K10" s="48"/>
      <c r="L10" s="51">
        <f>SUM($M$1:M9)</f>
        <v>1</v>
      </c>
      <c r="M10" s="42"/>
      <c r="N10" s="42"/>
      <c r="O10" s="42"/>
      <c r="P10" s="5"/>
      <c r="S10" s="58"/>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8"/>
      <c r="B11" s="38"/>
      <c r="C11" s="38"/>
      <c r="D11" s="38"/>
      <c r="E11" s="40" t="s">
        <v>35</v>
      </c>
      <c r="F11" s="48" t="str">
        <f>$C$5</f>
        <v>STANDARD SPREADSHEET METHOD</v>
      </c>
      <c r="G11" s="38"/>
      <c r="H11" s="38"/>
      <c r="I11" s="52"/>
      <c r="J11" s="41"/>
      <c r="K11" s="38"/>
      <c r="L11" s="38"/>
      <c r="M11" s="42"/>
      <c r="N11" s="42"/>
      <c r="O11" s="42"/>
      <c r="P11" s="5"/>
      <c r="S11" s="58"/>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4" t="str">
        <f>$G$4</f>
        <v>TENSION/COMPRESSION STRENGTH OF A POTTED INSERT</v>
      </c>
      <c r="C12" s="12"/>
      <c r="D12" s="12"/>
      <c r="E12" s="12"/>
      <c r="F12" s="12"/>
      <c r="G12" s="12"/>
      <c r="H12" s="12"/>
      <c r="I12" s="12"/>
      <c r="J12" s="12"/>
      <c r="K12" s="12"/>
      <c r="S12" s="58"/>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12"/>
      <c r="B13" s="38" t="s">
        <v>81</v>
      </c>
      <c r="C13" s="12"/>
      <c r="D13" s="12"/>
      <c r="E13" s="12"/>
      <c r="F13" s="12"/>
      <c r="G13" s="12"/>
      <c r="H13" s="12"/>
      <c r="I13" s="12"/>
      <c r="J13" s="12"/>
      <c r="K13" s="12"/>
      <c r="S13" s="58"/>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B14" s="98" t="s">
        <v>87</v>
      </c>
      <c r="C14" s="98"/>
      <c r="D14" s="98"/>
      <c r="E14" s="98"/>
      <c r="F14" s="98"/>
      <c r="G14" s="98"/>
      <c r="H14" s="98"/>
      <c r="I14" s="98"/>
      <c r="J14" s="98"/>
      <c r="K14" s="98"/>
      <c r="S14" s="58"/>
      <c r="T14" s="7"/>
    </row>
    <row r="15" spans="1:185" x14ac:dyDescent="0.3">
      <c r="A15" s="34"/>
      <c r="B15" s="99" t="s">
        <v>80</v>
      </c>
      <c r="C15" s="99"/>
      <c r="D15" s="99"/>
      <c r="E15" s="99"/>
      <c r="F15" s="99"/>
      <c r="K15" s="11"/>
    </row>
    <row r="16" spans="1:185" x14ac:dyDescent="0.3">
      <c r="A16" s="11"/>
      <c r="B16" s="98" t="s">
        <v>79</v>
      </c>
      <c r="C16" s="98"/>
      <c r="D16" s="98"/>
      <c r="E16" s="98"/>
      <c r="F16" s="11"/>
      <c r="G16" s="15" t="s">
        <v>53</v>
      </c>
      <c r="H16" s="80">
        <v>897</v>
      </c>
      <c r="I16" s="79" t="s">
        <v>20</v>
      </c>
      <c r="W16" s="83" t="s">
        <v>64</v>
      </c>
      <c r="X16" s="83" t="s">
        <v>65</v>
      </c>
      <c r="Y16" s="83" t="s">
        <v>54</v>
      </c>
    </row>
    <row r="17" spans="1:29" x14ac:dyDescent="0.3">
      <c r="G17" s="15" t="s">
        <v>71</v>
      </c>
      <c r="H17" s="81">
        <v>0.03</v>
      </c>
      <c r="I17" s="4" t="s">
        <v>63</v>
      </c>
      <c r="W17" s="83"/>
      <c r="X17" s="83"/>
      <c r="Y17" s="32"/>
      <c r="AB17" s="29">
        <f>$H$16/(2*PI()*$H$19*$H$18)</f>
        <v>634.49770645968943</v>
      </c>
    </row>
    <row r="18" spans="1:29" x14ac:dyDescent="0.3">
      <c r="A18" s="11"/>
      <c r="G18" s="30" t="s">
        <v>57</v>
      </c>
      <c r="H18" s="81">
        <v>0.625</v>
      </c>
      <c r="I18" s="4" t="s">
        <v>58</v>
      </c>
      <c r="W18" s="3">
        <f>H19</f>
        <v>0.36</v>
      </c>
      <c r="X18" s="84">
        <f t="shared" ref="X18:X53" si="0">$H$19/W18*(1-SQRT(W18/$H$19)*EXP($C$32*($H$19-W18)))</f>
        <v>0</v>
      </c>
      <c r="Y18" s="32">
        <f t="shared" ref="Y18:Y53" si="1">IF(W18&lt;$H$19,0,$H$16/(2*PI()*$H$19*$H$18)*$C$28/($C$28+1)*X18)</f>
        <v>0</v>
      </c>
      <c r="AA18" s="31">
        <f>W55</f>
        <v>0.51000000000000012</v>
      </c>
      <c r="AB18" s="31"/>
      <c r="AC18" s="31">
        <f>0</f>
        <v>0</v>
      </c>
    </row>
    <row r="19" spans="1:29" x14ac:dyDescent="0.3">
      <c r="A19" s="11"/>
      <c r="G19" s="15" t="s">
        <v>21</v>
      </c>
      <c r="H19" s="80">
        <v>0.36</v>
      </c>
      <c r="I19" s="78" t="s">
        <v>67</v>
      </c>
      <c r="J19" s="16"/>
      <c r="K19" s="18"/>
      <c r="W19" s="83">
        <f>W18+0.025</f>
        <v>0.38500000000000001</v>
      </c>
      <c r="X19" s="84">
        <f t="shared" si="0"/>
        <v>0.26066835332880228</v>
      </c>
      <c r="Y19" s="32">
        <f t="shared" si="1"/>
        <v>157.81819879174523</v>
      </c>
      <c r="AA19" s="31">
        <f>AA18</f>
        <v>0.51000000000000012</v>
      </c>
      <c r="AB19" s="31"/>
      <c r="AC19" s="31">
        <f>Y55*1.1</f>
        <v>405.71737543337053</v>
      </c>
    </row>
    <row r="20" spans="1:29" x14ac:dyDescent="0.3">
      <c r="A20" s="11"/>
      <c r="B20" s="19"/>
      <c r="C20" s="16"/>
      <c r="D20" s="20"/>
      <c r="E20" s="18"/>
      <c r="F20" s="16"/>
      <c r="G20" s="30" t="s">
        <v>56</v>
      </c>
      <c r="H20" s="80">
        <v>6000</v>
      </c>
      <c r="I20" s="4" t="s">
        <v>59</v>
      </c>
      <c r="K20" s="11"/>
      <c r="W20" s="83">
        <f t="shared" ref="W20:W53" si="2">W19+0.025</f>
        <v>0.41000000000000003</v>
      </c>
      <c r="X20" s="84">
        <f t="shared" si="0"/>
        <v>0.42227611897610262</v>
      </c>
      <c r="Y20" s="32">
        <f t="shared" si="1"/>
        <v>255.66147803724814</v>
      </c>
    </row>
    <row r="21" spans="1:29" x14ac:dyDescent="0.3">
      <c r="A21" s="11"/>
      <c r="B21" s="11"/>
      <c r="C21" s="16"/>
      <c r="D21" s="20"/>
      <c r="E21" s="18"/>
      <c r="F21" s="16"/>
      <c r="G21" s="30" t="s">
        <v>60</v>
      </c>
      <c r="H21" s="80">
        <v>4000000</v>
      </c>
      <c r="I21" s="4" t="s">
        <v>68</v>
      </c>
      <c r="J21" s="22"/>
      <c r="W21" s="83">
        <f t="shared" si="2"/>
        <v>0.43500000000000005</v>
      </c>
      <c r="X21" s="84">
        <f t="shared" si="0"/>
        <v>0.5189903819892655</v>
      </c>
      <c r="Y21" s="32">
        <f t="shared" si="1"/>
        <v>314.21584641872812</v>
      </c>
      <c r="AA21" s="31">
        <v>0</v>
      </c>
      <c r="AB21" s="31"/>
      <c r="AC21" s="31">
        <f>Y55</f>
        <v>368.83397766670043</v>
      </c>
    </row>
    <row r="22" spans="1:29" x14ac:dyDescent="0.3">
      <c r="A22" s="11"/>
      <c r="B22" s="11"/>
      <c r="F22" s="21"/>
      <c r="G22" s="30" t="s">
        <v>61</v>
      </c>
      <c r="H22" s="81">
        <v>0.3</v>
      </c>
      <c r="I22" s="4" t="s">
        <v>62</v>
      </c>
      <c r="J22" s="16"/>
      <c r="K22" s="18"/>
      <c r="W22" s="83">
        <f t="shared" si="2"/>
        <v>0.46000000000000008</v>
      </c>
      <c r="X22" s="84">
        <f t="shared" si="0"/>
        <v>0.57331784969829436</v>
      </c>
      <c r="Y22" s="32">
        <f t="shared" si="1"/>
        <v>347.10769151332892</v>
      </c>
      <c r="AA22" s="31">
        <f>AA19*1.1</f>
        <v>0.56100000000000017</v>
      </c>
      <c r="AB22" s="31"/>
      <c r="AC22" s="31">
        <f>AC21</f>
        <v>368.83397766670043</v>
      </c>
    </row>
    <row r="23" spans="1:29" x14ac:dyDescent="0.3">
      <c r="A23" s="11"/>
      <c r="B23" s="11"/>
      <c r="C23" s="16"/>
      <c r="F23" s="16"/>
      <c r="G23" s="30" t="s">
        <v>72</v>
      </c>
      <c r="H23" s="81">
        <v>800</v>
      </c>
      <c r="I23" s="4" t="s">
        <v>73</v>
      </c>
      <c r="K23" s="11"/>
      <c r="W23" s="83">
        <f t="shared" si="2"/>
        <v>0.4850000000000001</v>
      </c>
      <c r="X23" s="84">
        <f t="shared" si="0"/>
        <v>0.60011611314427404</v>
      </c>
      <c r="Y23" s="32">
        <f t="shared" si="1"/>
        <v>363.33234484689444</v>
      </c>
    </row>
    <row r="24" spans="1:29" x14ac:dyDescent="0.3">
      <c r="A24" s="11"/>
      <c r="B24" s="16"/>
      <c r="C24" s="23"/>
      <c r="D24" s="17"/>
      <c r="E24" s="18"/>
      <c r="F24" s="16"/>
      <c r="G24" s="21"/>
      <c r="H24" s="21"/>
      <c r="I24" s="16"/>
      <c r="J24" s="24"/>
      <c r="K24" s="11"/>
      <c r="W24" s="83">
        <f t="shared" si="2"/>
        <v>0.51000000000000012</v>
      </c>
      <c r="X24" s="84">
        <f t="shared" si="0"/>
        <v>0.60920316127141017</v>
      </c>
      <c r="Y24" s="32">
        <f t="shared" si="1"/>
        <v>368.83397766670043</v>
      </c>
    </row>
    <row r="25" spans="1:29" x14ac:dyDescent="0.3">
      <c r="A25" s="11"/>
      <c r="B25" s="15"/>
      <c r="K25" s="18"/>
      <c r="W25" s="83">
        <f t="shared" si="2"/>
        <v>0.53500000000000014</v>
      </c>
      <c r="X25" s="84">
        <f t="shared" si="0"/>
        <v>0.6070654034652152</v>
      </c>
      <c r="Y25" s="32">
        <f t="shared" si="1"/>
        <v>367.53970054361167</v>
      </c>
    </row>
    <row r="26" spans="1:29" x14ac:dyDescent="0.3">
      <c r="A26" s="11"/>
      <c r="B26" s="30" t="s">
        <v>66</v>
      </c>
      <c r="C26" s="4" t="str">
        <f ca="1">[1]!xlv(C28)</f>
        <v>c / f</v>
      </c>
      <c r="E26" s="30" t="s">
        <v>22</v>
      </c>
      <c r="F26" s="4" t="str">
        <f ca="1">[1]!xlv(F28)</f>
        <v>β / (β + 1)</v>
      </c>
      <c r="K26" s="11"/>
      <c r="W26" s="83">
        <f t="shared" si="2"/>
        <v>0.56000000000000016</v>
      </c>
      <c r="X26" s="84">
        <f t="shared" si="0"/>
        <v>0.59798125701025984</v>
      </c>
      <c r="Y26" s="32">
        <f t="shared" si="1"/>
        <v>362.03982450275947</v>
      </c>
    </row>
    <row r="27" spans="1:29" x14ac:dyDescent="0.3">
      <c r="A27" s="11"/>
      <c r="C27" s="4" t="str">
        <f>[1]!xln(C28,5)</f>
        <v>0.625 / 0.03</v>
      </c>
      <c r="E27" s="30"/>
      <c r="F27" s="4" t="str">
        <f>[1]!xln(F28)</f>
        <v>20.8 / (20.8 + 1)</v>
      </c>
      <c r="K27" s="11"/>
      <c r="W27" s="83">
        <f t="shared" si="2"/>
        <v>0.58500000000000019</v>
      </c>
      <c r="X27" s="84">
        <f t="shared" si="0"/>
        <v>0.58476331782039437</v>
      </c>
      <c r="Y27" s="32">
        <f t="shared" si="1"/>
        <v>354.03719845305216</v>
      </c>
    </row>
    <row r="28" spans="1:29" x14ac:dyDescent="0.3">
      <c r="B28" s="30" t="s">
        <v>66</v>
      </c>
      <c r="C28" s="89">
        <f>H18/H17</f>
        <v>20.833333333333336</v>
      </c>
      <c r="E28" s="30" t="s">
        <v>22</v>
      </c>
      <c r="F28" s="88">
        <f>C28/(C28+1)</f>
        <v>0.95419847328244278</v>
      </c>
      <c r="G28" s="78"/>
      <c r="W28" s="83">
        <f t="shared" si="2"/>
        <v>0.61000000000000021</v>
      </c>
      <c r="X28" s="84">
        <f t="shared" si="0"/>
        <v>0.5692502245001112</v>
      </c>
      <c r="Y28" s="32">
        <f t="shared" si="1"/>
        <v>344.6450017623892</v>
      </c>
    </row>
    <row r="29" spans="1:29" x14ac:dyDescent="0.3">
      <c r="B29" s="15"/>
      <c r="W29" s="83">
        <f t="shared" si="2"/>
        <v>0.63500000000000023</v>
      </c>
      <c r="X29" s="84">
        <f t="shared" si="0"/>
        <v>0.55263349364074976</v>
      </c>
      <c r="Y29" s="32">
        <f t="shared" si="1"/>
        <v>334.58462235482926</v>
      </c>
    </row>
    <row r="30" spans="1:29" x14ac:dyDescent="0.3">
      <c r="A30" s="11"/>
      <c r="B30" s="15" t="s">
        <v>55</v>
      </c>
      <c r="C30" s="4" t="str">
        <f ca="1">[1]!xlv(C32)</f>
        <v>1 / f × √[(Gc / Es) × 12 × (1 - vs²) × (1 + β / 2)]</v>
      </c>
      <c r="E30" s="18"/>
      <c r="F30" s="11"/>
      <c r="G30" s="11"/>
      <c r="K30" s="11"/>
      <c r="W30" s="83">
        <f t="shared" si="2"/>
        <v>0.66000000000000025</v>
      </c>
      <c r="X30" s="84">
        <f t="shared" si="0"/>
        <v>0.53567512813655493</v>
      </c>
      <c r="Y30" s="32">
        <f t="shared" si="1"/>
        <v>324.31740478067212</v>
      </c>
    </row>
    <row r="31" spans="1:29" x14ac:dyDescent="0.3">
      <c r="A31" s="11"/>
      <c r="B31" s="30" t="s">
        <v>11</v>
      </c>
      <c r="C31" s="4" t="str">
        <f>[1]!xln(C32,5)</f>
        <v>1 / 0.03 × √[(6000 / 4000000) × 12 × (1 - 0.3²) × (1 + 20.83333 / 2)]</v>
      </c>
      <c r="E31" s="18"/>
      <c r="F31" s="11"/>
      <c r="G31" s="11"/>
      <c r="K31" s="11"/>
      <c r="W31" s="83">
        <f t="shared" si="2"/>
        <v>0.68500000000000028</v>
      </c>
      <c r="X31" s="84">
        <f t="shared" si="0"/>
        <v>0.51885269876969264</v>
      </c>
      <c r="Y31" s="32">
        <f t="shared" si="1"/>
        <v>314.132487938731</v>
      </c>
    </row>
    <row r="32" spans="1:29" x14ac:dyDescent="0.3">
      <c r="A32" s="11"/>
      <c r="B32" s="15" t="s">
        <v>55</v>
      </c>
      <c r="C32" s="85">
        <f>1/H17*SQRT((H20/H21)*12*(1-H22^2)*(1+C28/2))</f>
        <v>14.414691579542499</v>
      </c>
      <c r="E32" s="18"/>
      <c r="F32" s="18"/>
      <c r="G32" s="18"/>
      <c r="I32" s="18"/>
      <c r="J32" s="16"/>
      <c r="K32" s="11"/>
      <c r="W32" s="83">
        <f t="shared" si="2"/>
        <v>0.7100000000000003</v>
      </c>
      <c r="X32" s="84">
        <f t="shared" si="0"/>
        <v>0.50245614083065171</v>
      </c>
      <c r="Y32" s="32">
        <f t="shared" si="1"/>
        <v>304.20540930690385</v>
      </c>
    </row>
    <row r="33" spans="1:25" x14ac:dyDescent="0.3">
      <c r="A33" s="11"/>
      <c r="B33" s="15"/>
      <c r="W33" s="83">
        <f t="shared" si="2"/>
        <v>0.73500000000000032</v>
      </c>
      <c r="X33" s="84">
        <f t="shared" si="0"/>
        <v>0.48665233703159116</v>
      </c>
      <c r="Y33" s="32">
        <f t="shared" si="1"/>
        <v>294.63720581087057</v>
      </c>
    </row>
    <row r="34" spans="1:25" x14ac:dyDescent="0.3">
      <c r="A34" s="11"/>
      <c r="B34" s="30" t="s">
        <v>74</v>
      </c>
      <c r="C34" s="4" t="str">
        <f ca="1">[1]!xlv(C36)</f>
        <v>2 × π × b × c × τcrit / (C × Kmax)</v>
      </c>
      <c r="E34" s="11"/>
      <c r="W34" s="83">
        <f t="shared" si="2"/>
        <v>0.76000000000000034</v>
      </c>
      <c r="X34" s="84">
        <f t="shared" si="0"/>
        <v>0.47152817431986527</v>
      </c>
      <c r="Y34" s="32">
        <f t="shared" si="1"/>
        <v>285.48048200102971</v>
      </c>
    </row>
    <row r="35" spans="1:25" x14ac:dyDescent="0.3">
      <c r="A35" s="11"/>
      <c r="C35" s="10" t="str">
        <f>[1]!xln(C36,5)</f>
        <v>2 × π × 0.36 × 0.625 × 800 / (0.9542 × 0.6092)</v>
      </c>
      <c r="D35" s="10"/>
      <c r="E35" s="10"/>
      <c r="F35" s="21"/>
      <c r="G35" s="21"/>
      <c r="W35" s="83">
        <f t="shared" si="2"/>
        <v>0.78500000000000036</v>
      </c>
      <c r="X35" s="84">
        <f t="shared" si="0"/>
        <v>0.45711920048704291</v>
      </c>
      <c r="Y35" s="32">
        <f t="shared" si="1"/>
        <v>276.75675981652262</v>
      </c>
    </row>
    <row r="36" spans="1:25" x14ac:dyDescent="0.3">
      <c r="A36" s="11"/>
      <c r="B36" s="30" t="s">
        <v>74</v>
      </c>
      <c r="C36" s="25">
        <f>2*PI()*H19*H18*H23/(F28*E55)</f>
        <v>1945.5908171466367</v>
      </c>
      <c r="D36" s="23" t="s">
        <v>20</v>
      </c>
      <c r="E36" s="10"/>
      <c r="W36" s="83">
        <f t="shared" si="2"/>
        <v>0.81000000000000039</v>
      </c>
      <c r="X36" s="84">
        <f t="shared" si="0"/>
        <v>0.44342864192455128</v>
      </c>
      <c r="Y36" s="32">
        <f t="shared" si="1"/>
        <v>268.46799263326591</v>
      </c>
    </row>
    <row r="37" spans="1:25" x14ac:dyDescent="0.3">
      <c r="A37" s="11"/>
      <c r="E37" s="11"/>
      <c r="I37" s="21"/>
      <c r="J37" s="11"/>
      <c r="K37" s="11"/>
      <c r="W37" s="83">
        <f t="shared" si="2"/>
        <v>0.83500000000000041</v>
      </c>
      <c r="X37" s="84">
        <f t="shared" si="0"/>
        <v>0.43043996943039564</v>
      </c>
      <c r="Y37" s="32">
        <f t="shared" si="1"/>
        <v>260.6041730650428</v>
      </c>
    </row>
    <row r="38" spans="1:25" x14ac:dyDescent="0.3">
      <c r="A38" s="11"/>
      <c r="F38" s="21"/>
      <c r="G38" s="21"/>
      <c r="H38" s="21"/>
      <c r="K38" s="11"/>
      <c r="W38" s="83">
        <f t="shared" si="2"/>
        <v>0.86000000000000043</v>
      </c>
      <c r="X38" s="84">
        <f t="shared" si="0"/>
        <v>0.41812514795254124</v>
      </c>
      <c r="Y38" s="32">
        <f t="shared" si="1"/>
        <v>253.148327661265</v>
      </c>
    </row>
    <row r="39" spans="1:25" x14ac:dyDescent="0.3">
      <c r="A39" s="11"/>
      <c r="K39" s="11"/>
      <c r="W39" s="83">
        <f t="shared" si="2"/>
        <v>0.88500000000000045</v>
      </c>
      <c r="X39" s="84">
        <f t="shared" si="0"/>
        <v>0.4064500030438169</v>
      </c>
      <c r="Y39" s="32">
        <f t="shared" si="1"/>
        <v>246.07976595595002</v>
      </c>
    </row>
    <row r="40" spans="1:25" x14ac:dyDescent="0.3">
      <c r="I40" s="27"/>
      <c r="J40" s="16"/>
      <c r="W40" s="83">
        <f t="shared" si="2"/>
        <v>0.91000000000000048</v>
      </c>
      <c r="X40" s="84">
        <f t="shared" si="0"/>
        <v>0.39537766559919257</v>
      </c>
      <c r="Y40" s="32">
        <f t="shared" si="1"/>
        <v>239.3761660382383</v>
      </c>
    </row>
    <row r="41" spans="1:25" x14ac:dyDescent="0.3">
      <c r="H41" s="27"/>
      <c r="I41" s="27"/>
      <c r="J41" s="16"/>
      <c r="W41" s="83">
        <f t="shared" si="2"/>
        <v>0.9350000000000005</v>
      </c>
      <c r="X41" s="84">
        <f t="shared" si="0"/>
        <v>0.384870740207503</v>
      </c>
      <c r="Y41" s="32">
        <f t="shared" si="1"/>
        <v>233.01488735219812</v>
      </c>
    </row>
    <row r="42" spans="1:25" x14ac:dyDescent="0.3">
      <c r="H42" s="27"/>
      <c r="I42" s="27"/>
      <c r="J42" s="16"/>
      <c r="W42" s="83">
        <f t="shared" si="2"/>
        <v>0.96000000000000052</v>
      </c>
      <c r="X42" s="84">
        <f t="shared" si="0"/>
        <v>0.37489262998171607</v>
      </c>
      <c r="Y42" s="32">
        <f t="shared" si="1"/>
        <v>226.97377279774796</v>
      </c>
    </row>
    <row r="43" spans="1:25" x14ac:dyDescent="0.3">
      <c r="H43" s="27"/>
      <c r="I43" s="27"/>
      <c r="J43" s="16"/>
      <c r="W43" s="83">
        <f t="shared" si="2"/>
        <v>0.98500000000000054</v>
      </c>
      <c r="X43" s="84">
        <f t="shared" si="0"/>
        <v>0.36540830787785783</v>
      </c>
      <c r="Y43" s="32">
        <f t="shared" si="1"/>
        <v>221.23161571547411</v>
      </c>
    </row>
    <row r="44" spans="1:25" x14ac:dyDescent="0.3">
      <c r="H44" s="27"/>
      <c r="W44" s="83">
        <f t="shared" si="2"/>
        <v>1.0100000000000005</v>
      </c>
      <c r="X44" s="84">
        <f t="shared" si="0"/>
        <v>0.35638472842859398</v>
      </c>
      <c r="Y44" s="32">
        <f t="shared" si="1"/>
        <v>215.76840916526925</v>
      </c>
    </row>
    <row r="45" spans="1:25" x14ac:dyDescent="0.3">
      <c r="F45" s="26"/>
      <c r="G45" s="26"/>
      <c r="W45" s="83">
        <f t="shared" si="2"/>
        <v>1.0350000000000004</v>
      </c>
      <c r="X45" s="84">
        <f t="shared" si="0"/>
        <v>0.34779100919325129</v>
      </c>
      <c r="Y45" s="32">
        <f t="shared" si="1"/>
        <v>210.56545578284226</v>
      </c>
    </row>
    <row r="46" spans="1:25" x14ac:dyDescent="0.3">
      <c r="H46" s="28"/>
      <c r="I46" s="28"/>
      <c r="J46" s="16"/>
      <c r="W46" s="83">
        <f t="shared" si="2"/>
        <v>1.0600000000000003</v>
      </c>
      <c r="X46" s="84">
        <f t="shared" si="0"/>
        <v>0.33959846778262226</v>
      </c>
      <c r="Y46" s="32">
        <f t="shared" si="1"/>
        <v>205.60539019589558</v>
      </c>
    </row>
    <row r="47" spans="1:25" x14ac:dyDescent="0.3">
      <c r="I47" s="26"/>
      <c r="W47" s="83">
        <f t="shared" si="2"/>
        <v>1.0850000000000002</v>
      </c>
      <c r="X47" s="84">
        <f t="shared" si="0"/>
        <v>0.33178057114232901</v>
      </c>
      <c r="Y47" s="32">
        <f t="shared" si="1"/>
        <v>200.8721483184099</v>
      </c>
    </row>
    <row r="48" spans="1:25" x14ac:dyDescent="0.3">
      <c r="I48" s="26"/>
      <c r="W48" s="83">
        <f t="shared" si="2"/>
        <v>1.1100000000000001</v>
      </c>
      <c r="X48" s="84">
        <f t="shared" si="0"/>
        <v>0.3243128342191901</v>
      </c>
      <c r="Y48" s="32">
        <f t="shared" si="1"/>
        <v>196.35090599953969</v>
      </c>
    </row>
    <row r="49" spans="1:26" x14ac:dyDescent="0.3">
      <c r="H49" s="26"/>
      <c r="W49" s="83">
        <f t="shared" si="2"/>
        <v>1.135</v>
      </c>
      <c r="X49" s="84">
        <f t="shared" si="0"/>
        <v>0.31717269205458687</v>
      </c>
      <c r="Y49" s="32">
        <f t="shared" si="1"/>
        <v>192.02800158423733</v>
      </c>
    </row>
    <row r="50" spans="1:26" x14ac:dyDescent="0.3">
      <c r="W50" s="83">
        <f t="shared" si="2"/>
        <v>1.1599999999999999</v>
      </c>
      <c r="X50" s="84">
        <f t="shared" si="0"/>
        <v>0.31033936063186662</v>
      </c>
      <c r="Y50" s="32">
        <f t="shared" si="1"/>
        <v>187.89085166515821</v>
      </c>
    </row>
    <row r="51" spans="1:26" x14ac:dyDescent="0.3">
      <c r="W51" s="83">
        <f t="shared" si="2"/>
        <v>1.1849999999999998</v>
      </c>
      <c r="X51" s="84">
        <f t="shared" si="0"/>
        <v>0.30379369602387929</v>
      </c>
      <c r="Y51" s="32">
        <f t="shared" si="1"/>
        <v>183.92786580540408</v>
      </c>
    </row>
    <row r="52" spans="1:26" x14ac:dyDescent="0.3">
      <c r="W52" s="83">
        <f t="shared" si="2"/>
        <v>1.2099999999999997</v>
      </c>
      <c r="X52" s="84">
        <f t="shared" si="0"/>
        <v>0.2975180575783507</v>
      </c>
      <c r="Y52" s="32">
        <f t="shared" si="1"/>
        <v>180.12836370592112</v>
      </c>
    </row>
    <row r="53" spans="1:26" x14ac:dyDescent="0.3">
      <c r="D53" s="33" t="s">
        <v>75</v>
      </c>
      <c r="E53" s="4" t="str">
        <f ca="1">[1]!xlv(E55)</f>
        <v>b / rmax × (1 - √[rmax / b] × EXP[α × (b - rmax)])</v>
      </c>
      <c r="W53" s="83">
        <f t="shared" si="2"/>
        <v>1.2349999999999997</v>
      </c>
      <c r="X53" s="84">
        <f t="shared" si="0"/>
        <v>0.29149617839272485</v>
      </c>
      <c r="Y53" s="32">
        <f t="shared" si="1"/>
        <v>176.48249678621031</v>
      </c>
    </row>
    <row r="54" spans="1:26" x14ac:dyDescent="0.3">
      <c r="E54" s="4" t="str">
        <f>[1]!xln(E55)</f>
        <v>0.36 / 0.51 × (1 - √[0.51 / 0.36] × EXP[14.4 × (0.36 - 0.51)])</v>
      </c>
    </row>
    <row r="55" spans="1:26" x14ac:dyDescent="0.3">
      <c r="D55" s="33" t="s">
        <v>75</v>
      </c>
      <c r="E55" s="88">
        <f>$H$19/W55*(1-SQRT(W55/$H$19)*EXP($C$32*($H$19-W55)))</f>
        <v>0.60920316127141017</v>
      </c>
      <c r="V55" s="2" t="s">
        <v>76</v>
      </c>
      <c r="W55" s="82">
        <f>INDEX(W18:W53,MATCH(Y55,Y18:Y53,0))</f>
        <v>0.51000000000000012</v>
      </c>
      <c r="Y55" s="86">
        <f>MAX(Y18:Y53)</f>
        <v>368.83397766670043</v>
      </c>
    </row>
    <row r="56" spans="1:26" x14ac:dyDescent="0.3">
      <c r="D56" s="30" t="s">
        <v>69</v>
      </c>
      <c r="E56" s="25">
        <f>Y55</f>
        <v>368.83397766670043</v>
      </c>
      <c r="F56" s="4" t="s">
        <v>70</v>
      </c>
      <c r="W56" s="83"/>
      <c r="X56" s="84"/>
      <c r="Y56" s="32"/>
    </row>
    <row r="57" spans="1:26" x14ac:dyDescent="0.3">
      <c r="J57" s="30" t="str">
        <f>"M.S. (incl. Fitting Factor) = "&amp;[1]!xln(K57)&amp;" ="</f>
        <v>M.S. (incl. Fitting Factor) = 1946 / (897 × 1.15) - 1 =</v>
      </c>
      <c r="K57" s="87">
        <f>C36/(H16*1.15)-1</f>
        <v>0.88608484043103752</v>
      </c>
      <c r="Z57" s="31"/>
    </row>
    <row r="58" spans="1:26" x14ac:dyDescent="0.3">
      <c r="A58" s="12"/>
      <c r="B58" s="3"/>
      <c r="C58" s="64"/>
      <c r="D58" s="12"/>
      <c r="E58" s="12"/>
      <c r="F58" s="12"/>
      <c r="G58" s="64"/>
      <c r="H58" s="12"/>
      <c r="I58" s="12"/>
      <c r="J58" s="12"/>
      <c r="K58" s="12"/>
      <c r="Z58" s="31"/>
    </row>
    <row r="59" spans="1:26" x14ac:dyDescent="0.3">
      <c r="A59" s="12"/>
      <c r="B59" s="65"/>
      <c r="C59" s="64"/>
      <c r="D59" s="66"/>
      <c r="E59" s="66"/>
      <c r="F59" s="67" t="s">
        <v>52</v>
      </c>
      <c r="G59" s="64"/>
      <c r="H59" s="66"/>
      <c r="I59" s="66"/>
      <c r="J59" s="66"/>
      <c r="K59" s="12"/>
    </row>
    <row r="60" spans="1:26" x14ac:dyDescent="0.3">
      <c r="A60" s="12"/>
      <c r="B60" s="66"/>
      <c r="C60" s="66"/>
      <c r="D60" s="66"/>
      <c r="E60" s="66"/>
      <c r="F60" s="77" t="s">
        <v>82</v>
      </c>
      <c r="G60" s="66"/>
      <c r="H60" s="66"/>
      <c r="I60" s="66"/>
      <c r="J60" s="66"/>
      <c r="K60" s="12"/>
    </row>
  </sheetData>
  <mergeCells count="3">
    <mergeCell ref="B16:E16"/>
    <mergeCell ref="B15:F15"/>
    <mergeCell ref="B14:K14"/>
  </mergeCells>
  <hyperlinks>
    <hyperlink ref="F60" r:id="rId1"/>
    <hyperlink ref="B15" r:id="rId2" display="ECSS-E-HB-32-22A INSERT DESIGN HANDBOOK"/>
    <hyperlink ref="B16" r:id="rId3" display="ESA-PSS-03-1202 INSERT DESIGN HANDBOOK"/>
    <hyperlink ref="B16:E16" r:id="rId4" display="(ESA-PSS-03-1202 INSERT DESIGN HANDBOOK)"/>
    <hyperlink ref="B15:F15" r:id="rId5" display="(ECSS-E-HB-32-22A INSERT DESIGN HANDBOOK)"/>
    <hyperlink ref="B14:K14" r:id="rId6"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2016-08-31T11:42:37Z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